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156" windowHeight="8052" activeTab="2"/>
  </bookViews>
  <sheets>
    <sheet name="Dự toán 1 ha trồng rừng" sheetId="1" r:id="rId1"/>
    <sheet name="KH chi tiết 1 ha trồng rừng" sheetId="2" r:id="rId2"/>
    <sheet name="TH DU TOAN" sheetId="3" r:id="rId3"/>
  </sheets>
  <definedNames/>
  <calcPr fullCalcOnLoad="1"/>
</workbook>
</file>

<file path=xl/sharedStrings.xml><?xml version="1.0" encoding="utf-8"?>
<sst xmlns="http://schemas.openxmlformats.org/spreadsheetml/2006/main" count="488" uniqueCount="151">
  <si>
    <t>Khối lượng</t>
  </si>
  <si>
    <t>Định mức</t>
  </si>
  <si>
    <t>Công</t>
  </si>
  <si>
    <t>I</t>
  </si>
  <si>
    <t>II</t>
  </si>
  <si>
    <t>Tổng cộng</t>
  </si>
  <si>
    <t>TT</t>
  </si>
  <si>
    <t>Hạng mục</t>
  </si>
  <si>
    <t>Tổng chi phí vật tư</t>
  </si>
  <si>
    <t>Phân NPK</t>
  </si>
  <si>
    <t>Vận chuyển cây đến hiện trường</t>
  </si>
  <si>
    <t>Dụng cụ lao động</t>
  </si>
  <si>
    <t>Chí phí nhân công</t>
  </si>
  <si>
    <t>Vật tư</t>
  </si>
  <si>
    <t>Cây giống</t>
  </si>
  <si>
    <t>Nhân công</t>
  </si>
  <si>
    <t>III</t>
  </si>
  <si>
    <t>IV</t>
  </si>
  <si>
    <t>V</t>
  </si>
  <si>
    <t>VI</t>
  </si>
  <si>
    <t>VII</t>
  </si>
  <si>
    <t>VIII</t>
  </si>
  <si>
    <t>IX</t>
  </si>
  <si>
    <t>X</t>
  </si>
  <si>
    <t>Đơn giá</t>
  </si>
  <si>
    <t>Cuốc cục bộ 1m2 
(CN kỹ thuật bậc III)</t>
  </si>
  <si>
    <t>Đào hố (CN kỹ thuật bậc III)</t>
  </si>
  <si>
    <t>Lấp hố (CN kỹ thuật bậc III)</t>
  </si>
  <si>
    <t>Vận chuyển và bón phân
(CN kỹ thuật bậc III)</t>
  </si>
  <si>
    <t>Vận chuyển cây và trồng rừng
(CN kỹ thuật bậc III)</t>
  </si>
  <si>
    <t>Trồng dặm 10%
(CN kỹ thuật bậc III)</t>
  </si>
  <si>
    <t>Dẫy cỏ + xới vun gốc 
(CN kỹ thuật bậc III)</t>
  </si>
  <si>
    <t>Vận chuyển cây và trồng dặm
(CN kỹ thuật bậc III)</t>
  </si>
  <si>
    <t>Bảo vệ (CN kỹ thuật bậc III)</t>
  </si>
  <si>
    <t>Xử lý thực bì lần 2
(CN Kỹ thuật bậc III)</t>
  </si>
  <si>
    <t>Dẫy cỏ + xới vun gốc
(CN kỹ thuật bậc III)</t>
  </si>
  <si>
    <t>Xử lý thực bì lần 1
(CN kỹ thuật bậc III)</t>
  </si>
  <si>
    <t>Xử lý thực bì lần 2
(CN kỹ thuật bậc III)</t>
  </si>
  <si>
    <t>Xử lý thực bì 
(CN kỹ thuật bậc III)</t>
  </si>
  <si>
    <t>Cây giống (trồng Sao đen)</t>
  </si>
  <si>
    <t>Xử lý thực bì (CN kỹ thuật bậc III)</t>
  </si>
  <si>
    <t>Năm</t>
  </si>
  <si>
    <t>*</t>
  </si>
  <si>
    <t>Năm thực hiện</t>
  </si>
  <si>
    <t>Chi phí vật tư</t>
  </si>
  <si>
    <t>Năm 1: chuẩn bị hiện trường/trồng rừng</t>
  </si>
  <si>
    <t>Năm 2: chăm sóc</t>
  </si>
  <si>
    <t>Năm 3: chăm sóc</t>
  </si>
  <si>
    <t>Năm 4: chăm sóc</t>
  </si>
  <si>
    <t>Năm 5: chăm sóc</t>
  </si>
  <si>
    <t>Năm 6: bảo vệ</t>
  </si>
  <si>
    <t>Năm 7: bảo vệ</t>
  </si>
  <si>
    <t>Năm 8: bảo vệ</t>
  </si>
  <si>
    <t>Năm 9: bảo vệ</t>
  </si>
  <si>
    <t>Năm 10: bảo vệ</t>
  </si>
  <si>
    <t>Chăm sóc năm 1 (Năm 2013)</t>
  </si>
  <si>
    <t>Chăm sóc năm 2 (Năm 2014)</t>
  </si>
  <si>
    <t>Chăm sóc năm 3 (Năm 2015)</t>
  </si>
  <si>
    <t>Chăm sóc năm 4 (Năm 2016)</t>
  </si>
  <si>
    <t>Năm thứ 5 (Năm 2017)</t>
  </si>
  <si>
    <t>Năm thứ 6 (Năm 2018)</t>
  </si>
  <si>
    <t>Năm thứ 7 (Năm 2019)</t>
  </si>
  <si>
    <t>Năm thứ 8 (Năm 2020)</t>
  </si>
  <si>
    <t>Năm thứ 9 (Năm 2021)</t>
  </si>
  <si>
    <t>Chi phí dự phòng</t>
  </si>
  <si>
    <t xml:space="preserve">Chi phí nhân công 
</t>
  </si>
  <si>
    <t>Vận chuyển cây đến hiện trường
(Từ bến cano đến chân công trình)</t>
  </si>
  <si>
    <t>A</t>
  </si>
  <si>
    <t>B</t>
  </si>
  <si>
    <t>Tổng (A + B)</t>
  </si>
  <si>
    <t xml:space="preserve">Chi phí chung 5% x (1) </t>
  </si>
  <si>
    <t>Thu nhập chịu thuế tính trước 5,5% (1+2)</t>
  </si>
  <si>
    <t>Thuế giá trị gia tăng 5% x (1+2+3)</t>
  </si>
  <si>
    <t>Chi phí QLDA 2,125% (1+2+3+4)</t>
  </si>
  <si>
    <t>Chi phí tư vấn đầu tư xây dựng 7,875% x (1+2+3+4)</t>
  </si>
  <si>
    <t>Tổng chi phí:</t>
  </si>
  <si>
    <t>Trồng rừng (Năm 2012)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</si>
  <si>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</si>
  <si>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</si>
  <si>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</si>
  <si>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</si>
  <si>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</si>
  <si>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</si>
  <si>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</si>
  <si>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</si>
  <si>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</si>
  <si>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Vận chuyển cây đến hiện trường
(Từ bến ca nô đến chân công trình)</t>
  </si>
  <si>
    <t>Lán trại qua sông thi công</t>
  </si>
  <si>
    <t>Dự toán cho
1 ha</t>
  </si>
  <si>
    <t>Dự toán 
cho 
16,5 ha</t>
  </si>
  <si>
    <t>ĐVT: Đồng</t>
  </si>
  <si>
    <t>Dự toán (đồng)</t>
  </si>
  <si>
    <t xml:space="preserve">Chi phí nhân công </t>
  </si>
  <si>
    <t xml:space="preserve">Chi phí chung 5% (III) </t>
  </si>
  <si>
    <t>Thu nhập chịu thuế tính trước 5,5% (III+IV)</t>
  </si>
  <si>
    <t>Thuế giá trị gia tăng 5% (III+IV+V)</t>
  </si>
  <si>
    <t>Chi phí QLDA 2,125% (III+IV+V+VI)</t>
  </si>
  <si>
    <t>Chi phí tư vấn đầu tư xây dựng 7,875% x (III+IV+V+VI)</t>
  </si>
  <si>
    <t>Vận chuyển cây con đến hiện trường</t>
  </si>
  <si>
    <t>Chi phí trực tiếp (I + II)</t>
  </si>
  <si>
    <t>cây</t>
  </si>
  <si>
    <t>kg</t>
  </si>
  <si>
    <t>bộ</t>
  </si>
  <si>
    <t>lán</t>
  </si>
  <si>
    <t>hố</t>
  </si>
  <si>
    <t>ĐVT</t>
  </si>
  <si>
    <t>Mã số</t>
  </si>
  <si>
    <t>76-d</t>
  </si>
  <si>
    <t>130-a</t>
  </si>
  <si>
    <t>86-b</t>
  </si>
  <si>
    <t>101-a</t>
  </si>
  <si>
    <t>111-b</t>
  </si>
  <si>
    <t>120-a</t>
  </si>
  <si>
    <t>145-b</t>
  </si>
  <si>
    <t>114-h</t>
  </si>
  <si>
    <t>115-h</t>
  </si>
  <si>
    <t>116-h</t>
  </si>
  <si>
    <t>117-h</t>
  </si>
  <si>
    <t>gốc/công</t>
  </si>
  <si>
    <t>hố/công</t>
  </si>
  <si>
    <t>cây/công</t>
  </si>
  <si>
    <t>gốc</t>
  </si>
  <si>
    <r>
      <t>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/công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</si>
  <si>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</si>
  <si>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Dự phòng khối lượng</t>
  </si>
  <si>
    <t>Dự phòng giá</t>
  </si>
  <si>
    <t>Tỷ lệ dự phòng khối lượng</t>
  </si>
  <si>
    <t>Tỷ lệ lam phát</t>
  </si>
  <si>
    <t>Chỉ số lạm phát</t>
  </si>
  <si>
    <t>Dẫy cỏ, xới vun gốc</t>
  </si>
  <si>
    <t>Năm 1: Trồng rừng</t>
  </si>
  <si>
    <t>BIỂU 02:  KẾ HOẠCH CHI PHÍ TRỒNG RỪNG CHO 16,5 Ha</t>
  </si>
  <si>
    <t>BIỂU 01: DỰ TOÁN CHI TIẾT TRỒNG RỪNG 01 HA</t>
  </si>
  <si>
    <t>Chi phí dự phòng 10% (</t>
  </si>
  <si>
    <t xml:space="preserve">BIỂU 03:  TỔNG HỢP DỰ TOÁN ĐẦU TƯ 16,5 HA </t>
  </si>
  <si>
    <t>Xử lý thực bì (CN KT bậc III)</t>
  </si>
  <si>
    <t>Cuốc cục bộ 1m2 (CN KT bậcIII)</t>
  </si>
  <si>
    <t>công/ha</t>
  </si>
  <si>
    <t>Vận chuyển và bón phân (CN KT bậc III)</t>
  </si>
  <si>
    <t>Vận chuyển cây và trồng rừng(CN KTbậc III)</t>
  </si>
  <si>
    <t>Trồng dặm 10% (CN kỹ thuật bậc III)</t>
  </si>
  <si>
    <t>Xử lý thực bì lần 1(CN kỹ thuật bậc III)</t>
  </si>
  <si>
    <t>Xử lý thực bì lần 2(CN kỹ thuật bậc III)</t>
  </si>
  <si>
    <t>Dẫy cỏ + xới vun gốc (CN kỹ thuật bậc III)</t>
  </si>
  <si>
    <t>Vận chuyển và bón phân (CN kỹ thuật bậc III)</t>
  </si>
  <si>
    <t>Vận chuyển cây và trồng dặm (CN KT bậc III)</t>
  </si>
  <si>
    <t>Xử lý thực bì lần 2(CN Kỹ thuật bậc III)</t>
  </si>
  <si>
    <t>Dẫy cỏ + xới vun gốc(CN kỹ thuật bậc III)</t>
  </si>
  <si>
    <t>(Kèm theo Tờ trình số         /TTr-SNN&amp;PTNT ngày      tháng      năm 2012 của Sở Nông nghiệp&amp;PTNT Quảng Nam)</t>
  </si>
  <si>
    <t>(Kèm theo Quyết định số 2495 /QĐ-UBND ngày  31/7/2012của UBND tỉnh Quảng Nam)</t>
  </si>
  <si>
    <t xml:space="preserve">(Kèm theo Quyết định số 2495 /QĐ-UBND ngày  31/7/2012của UBND tỉnh Quảng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</si>
</sst>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37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0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3" fontId="31" fillId="0" borderId="12" xfId="0" applyNumberFormat="1" applyFont="1" applyBorder="1" applyAlignment="1">
      <alignment horizontal="center" vertical="center"/>
    </xf>
    <xf numFmtId="3" fontId="31" fillId="0" borderId="12" xfId="0" applyNumberFormat="1" applyFont="1" applyBorder="1" applyAlignment="1">
      <alignment vertical="center" wrapText="1"/>
    </xf>
    <xf numFmtId="3" fontId="32" fillId="0" borderId="12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3" fontId="32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wrapText="1"/>
    </xf>
    <xf numFmtId="3" fontId="29" fillId="0" borderId="0" xfId="0" applyNumberFormat="1" applyFont="1" applyAlignment="1">
      <alignment horizontal="center"/>
    </xf>
    <xf numFmtId="165" fontId="29" fillId="0" borderId="0" xfId="0" applyNumberFormat="1" applyFont="1" applyAlignment="1">
      <alignment horizontal="center"/>
    </xf>
    <xf numFmtId="3" fontId="31" fillId="0" borderId="0" xfId="0" applyNumberFormat="1" applyFont="1" applyBorder="1" applyAlignment="1">
      <alignment vertical="center"/>
    </xf>
    <xf numFmtId="164" fontId="29" fillId="0" borderId="0" xfId="0" applyNumberFormat="1" applyFont="1" applyAlignment="1">
      <alignment horizontal="center"/>
    </xf>
    <xf numFmtId="4" fontId="31" fillId="0" borderId="12" xfId="0" applyNumberFormat="1" applyFont="1" applyBorder="1" applyAlignment="1">
      <alignment vertical="center" wrapText="1"/>
    </xf>
    <xf numFmtId="3" fontId="31" fillId="0" borderId="14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vertical="center" wrapText="1"/>
    </xf>
    <xf numFmtId="3" fontId="32" fillId="0" borderId="14" xfId="0" applyNumberFormat="1" applyFont="1" applyBorder="1" applyAlignment="1">
      <alignment horizontal="center" vertical="center"/>
    </xf>
    <xf numFmtId="3" fontId="27" fillId="0" borderId="15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3" fontId="20" fillId="0" borderId="15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3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3" fontId="20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vertical="center"/>
    </xf>
    <xf numFmtId="2" fontId="20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1" fontId="20" fillId="0" borderId="10" xfId="0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wrapText="1"/>
    </xf>
    <xf numFmtId="3" fontId="28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4" fontId="28" fillId="0" borderId="16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right" vertical="center"/>
    </xf>
    <xf numFmtId="1" fontId="21" fillId="0" borderId="10" xfId="0" applyNumberFormat="1" applyFont="1" applyFill="1" applyBorder="1" applyAlignment="1">
      <alignment vertical="center"/>
    </xf>
    <xf numFmtId="1" fontId="27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center"/>
    </xf>
    <xf numFmtId="3" fontId="20" fillId="0" borderId="23" xfId="0" applyNumberFormat="1" applyFont="1" applyFill="1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" fontId="20" fillId="0" borderId="10" xfId="0" applyNumberFormat="1" applyFont="1" applyFill="1" applyBorder="1" applyAlignment="1">
      <alignment horizontal="left" vertical="center"/>
    </xf>
    <xf numFmtId="1" fontId="20" fillId="0" borderId="10" xfId="0" applyNumberFormat="1" applyFont="1" applyFill="1" applyBorder="1" applyAlignment="1">
      <alignment vertical="center"/>
    </xf>
    <xf numFmtId="0" fontId="31" fillId="0" borderId="18" xfId="0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vertical="center"/>
    </xf>
    <xf numFmtId="1" fontId="21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/>
    </xf>
    <xf numFmtId="4" fontId="20" fillId="0" borderId="0" xfId="0" applyNumberFormat="1" applyFont="1" applyAlignment="1">
      <alignment/>
    </xf>
    <xf numFmtId="3" fontId="21" fillId="0" borderId="18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vertical="center"/>
    </xf>
    <xf numFmtId="4" fontId="21" fillId="0" borderId="16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/>
    </xf>
    <xf numFmtId="9" fontId="25" fillId="0" borderId="24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4" fontId="29" fillId="0" borderId="14" xfId="0" applyNumberFormat="1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vertical="center"/>
    </xf>
    <xf numFmtId="0" fontId="31" fillId="0" borderId="12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vertical="center"/>
    </xf>
    <xf numFmtId="0" fontId="35" fillId="0" borderId="2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3" fontId="35" fillId="0" borderId="15" xfId="0" applyNumberFormat="1" applyFont="1" applyBorder="1" applyAlignment="1">
      <alignment/>
    </xf>
    <xf numFmtId="0" fontId="24" fillId="0" borderId="2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3" fontId="24" fillId="0" borderId="15" xfId="0" applyNumberFormat="1" applyFont="1" applyBorder="1" applyAlignment="1">
      <alignment/>
    </xf>
    <xf numFmtId="0" fontId="35" fillId="0" borderId="10" xfId="0" applyFont="1" applyBorder="1" applyAlignment="1">
      <alignment vertical="center" wrapText="1"/>
    </xf>
    <xf numFmtId="3" fontId="35" fillId="0" borderId="2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16" xfId="0" applyFont="1" applyBorder="1" applyAlignment="1">
      <alignment/>
    </xf>
    <xf numFmtId="3" fontId="35" fillId="0" borderId="25" xfId="0" applyNumberFormat="1" applyFont="1" applyBorder="1" applyAlignment="1">
      <alignment/>
    </xf>
    <xf numFmtId="1" fontId="20" fillId="0" borderId="10" xfId="0" applyNumberFormat="1" applyFont="1" applyFill="1" applyBorder="1" applyAlignment="1">
      <alignment horizontal="right" vertical="center"/>
    </xf>
    <xf numFmtId="1" fontId="21" fillId="0" borderId="10" xfId="0" applyNumberFormat="1" applyFont="1" applyFill="1" applyBorder="1" applyAlignment="1">
      <alignment horizontal="right" vertical="center"/>
    </xf>
    <xf numFmtId="1" fontId="27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1" fontId="21" fillId="0" borderId="1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zoomScalePageLayoutView="0" workbookViewId="0" topLeftCell="A1">
      <selection activeCell="A3" sqref="A3:K3"/>
    </sheetView>
  </sheetViews>
  <sheetFormatPr defaultColWidth="9.125" defaultRowHeight="15.75"/>
  <cols>
    <col min="1" max="1" width="3.875" style="6" customWidth="1"/>
    <col min="2" max="2" width="36.50390625" style="7" customWidth="1"/>
    <col min="3" max="3" width="6.625" style="121" customWidth="1"/>
    <col min="4" max="4" width="6.875" style="2" customWidth="1"/>
    <col min="5" max="5" width="5.875" style="2" customWidth="1"/>
    <col min="6" max="6" width="5.625" style="3" customWidth="1"/>
    <col min="7" max="7" width="7.75390625" style="110" customWidth="1"/>
    <col min="8" max="8" width="5.75390625" style="103" customWidth="1"/>
    <col min="9" max="9" width="8.625" style="1" customWidth="1"/>
    <col min="10" max="10" width="12.125" style="1" customWidth="1"/>
    <col min="11" max="11" width="14.50390625" style="2" customWidth="1"/>
    <col min="12" max="16384" width="9.125" style="2" customWidth="1"/>
  </cols>
  <sheetData>
    <row r="1" spans="1:3" ht="18">
      <c r="A1" s="163"/>
      <c r="B1" s="163"/>
      <c r="C1" s="117"/>
    </row>
    <row r="2" spans="1:11" ht="28.5" customHeight="1">
      <c r="A2" s="160" t="s">
        <v>132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21" customHeight="1">
      <c r="A3" s="161" t="s">
        <v>150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21" customHeight="1" thickBot="1">
      <c r="A4" s="162" t="s">
        <v>90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s="4" customFormat="1" ht="58.5" customHeight="1" thickTop="1">
      <c r="A5" s="49" t="s">
        <v>6</v>
      </c>
      <c r="B5" s="50" t="s">
        <v>7</v>
      </c>
      <c r="C5" s="98" t="s">
        <v>106</v>
      </c>
      <c r="D5" s="50" t="s">
        <v>0</v>
      </c>
      <c r="E5" s="51" t="s">
        <v>105</v>
      </c>
      <c r="F5" s="52" t="s">
        <v>1</v>
      </c>
      <c r="G5" s="111" t="s">
        <v>105</v>
      </c>
      <c r="H5" s="104" t="s">
        <v>2</v>
      </c>
      <c r="I5" s="51" t="s">
        <v>24</v>
      </c>
      <c r="J5" s="51" t="s">
        <v>88</v>
      </c>
      <c r="K5" s="53" t="s">
        <v>89</v>
      </c>
    </row>
    <row r="6" spans="1:12" s="8" customFormat="1" ht="21" customHeight="1">
      <c r="A6" s="54" t="s">
        <v>3</v>
      </c>
      <c r="B6" s="55" t="s">
        <v>76</v>
      </c>
      <c r="C6" s="118"/>
      <c r="D6" s="57"/>
      <c r="E6" s="57"/>
      <c r="F6" s="58"/>
      <c r="G6" s="112"/>
      <c r="H6" s="105"/>
      <c r="I6" s="56"/>
      <c r="J6" s="59">
        <f>J7+J12</f>
        <v>19212966.346870966</v>
      </c>
      <c r="K6" s="45">
        <f>K7+K12</f>
        <v>317013944.7233709</v>
      </c>
      <c r="L6" s="8">
        <v>16.5</v>
      </c>
    </row>
    <row r="7" spans="1:11" s="5" customFormat="1" ht="21" customHeight="1">
      <c r="A7" s="60">
        <v>1</v>
      </c>
      <c r="B7" s="61" t="s">
        <v>8</v>
      </c>
      <c r="C7" s="119"/>
      <c r="D7" s="63"/>
      <c r="E7" s="63"/>
      <c r="F7" s="64"/>
      <c r="G7" s="112"/>
      <c r="H7" s="105"/>
      <c r="I7" s="62"/>
      <c r="J7" s="65">
        <f>SUM(J8:J11)</f>
        <v>4831000</v>
      </c>
      <c r="K7" s="46">
        <f>SUM(K8:K11)</f>
        <v>79711500</v>
      </c>
    </row>
    <row r="8" spans="1:11" ht="21" customHeight="1">
      <c r="A8" s="66" t="s">
        <v>77</v>
      </c>
      <c r="B8" s="67" t="s">
        <v>39</v>
      </c>
      <c r="C8" s="116"/>
      <c r="D8" s="70">
        <v>1222</v>
      </c>
      <c r="E8" s="70" t="s">
        <v>100</v>
      </c>
      <c r="F8" s="69"/>
      <c r="G8" s="113"/>
      <c r="H8" s="106"/>
      <c r="I8" s="69">
        <f>2000*1.15</f>
        <v>2300</v>
      </c>
      <c r="J8" s="68">
        <f>D8*I8</f>
        <v>2810600</v>
      </c>
      <c r="K8" s="47">
        <f>J8*L6</f>
        <v>46374900</v>
      </c>
    </row>
    <row r="9" spans="1:11" ht="21" customHeight="1">
      <c r="A9" s="66" t="s">
        <v>78</v>
      </c>
      <c r="B9" s="67" t="s">
        <v>9</v>
      </c>
      <c r="C9" s="116"/>
      <c r="D9" s="70">
        <v>111</v>
      </c>
      <c r="E9" s="70" t="s">
        <v>101</v>
      </c>
      <c r="F9" s="69"/>
      <c r="G9" s="113"/>
      <c r="H9" s="106"/>
      <c r="I9" s="69">
        <v>16000</v>
      </c>
      <c r="J9" s="68">
        <f>D9*I9</f>
        <v>1776000</v>
      </c>
      <c r="K9" s="47">
        <f>J9*L6</f>
        <v>29304000</v>
      </c>
    </row>
    <row r="10" spans="1:11" ht="33.75" customHeight="1">
      <c r="A10" s="79" t="s">
        <v>79</v>
      </c>
      <c r="B10" s="67" t="s">
        <v>66</v>
      </c>
      <c r="C10" s="116"/>
      <c r="D10" s="70">
        <v>1222</v>
      </c>
      <c r="E10" s="70" t="s">
        <v>100</v>
      </c>
      <c r="F10" s="71"/>
      <c r="G10" s="114"/>
      <c r="H10" s="107"/>
      <c r="I10" s="81">
        <v>200</v>
      </c>
      <c r="J10" s="68">
        <f>D10*I10</f>
        <v>244400</v>
      </c>
      <c r="K10" s="47">
        <f>J10*L6</f>
        <v>4032600</v>
      </c>
    </row>
    <row r="11" spans="1:11" s="83" customFormat="1" ht="19.5" customHeight="1">
      <c r="A11" s="79" t="s">
        <v>80</v>
      </c>
      <c r="B11" s="84" t="s">
        <v>11</v>
      </c>
      <c r="C11" s="116"/>
      <c r="D11" s="85"/>
      <c r="E11" s="96" t="s">
        <v>102</v>
      </c>
      <c r="F11" s="80"/>
      <c r="G11" s="102"/>
      <c r="H11" s="107"/>
      <c r="I11" s="81">
        <v>100000</v>
      </c>
      <c r="J11" s="81">
        <f>D11*I11</f>
        <v>0</v>
      </c>
      <c r="K11" s="82">
        <f>J11*L6</f>
        <v>0</v>
      </c>
    </row>
    <row r="12" spans="1:11" s="5" customFormat="1" ht="21" customHeight="1">
      <c r="A12" s="60">
        <v>2</v>
      </c>
      <c r="B12" s="61" t="s">
        <v>12</v>
      </c>
      <c r="C12" s="119"/>
      <c r="D12" s="86"/>
      <c r="E12" s="86"/>
      <c r="F12" s="64"/>
      <c r="G12" s="112"/>
      <c r="H12" s="105"/>
      <c r="I12" s="62"/>
      <c r="J12" s="65">
        <f>SUM(J13:J21)</f>
        <v>14381966.346870966</v>
      </c>
      <c r="K12" s="46">
        <f>SUM(K13:K21)</f>
        <v>237302444.72337094</v>
      </c>
    </row>
    <row r="13" spans="1:11" s="5" customFormat="1" ht="18.75" customHeight="1">
      <c r="A13" s="66" t="s">
        <v>77</v>
      </c>
      <c r="B13" s="67" t="s">
        <v>87</v>
      </c>
      <c r="C13" s="116"/>
      <c r="D13" s="70"/>
      <c r="E13" s="70" t="s">
        <v>103</v>
      </c>
      <c r="F13" s="72"/>
      <c r="G13" s="99"/>
      <c r="H13" s="107"/>
      <c r="I13" s="69"/>
      <c r="J13" s="88"/>
      <c r="K13" s="88"/>
    </row>
    <row r="14" spans="1:11" ht="20.25" customHeight="1">
      <c r="A14" s="66" t="s">
        <v>78</v>
      </c>
      <c r="B14" s="67" t="s">
        <v>40</v>
      </c>
      <c r="C14" s="116" t="s">
        <v>107</v>
      </c>
      <c r="D14" s="70">
        <v>8333</v>
      </c>
      <c r="E14" s="70" t="s">
        <v>123</v>
      </c>
      <c r="F14" s="97">
        <f>ROUND(182*0.92,0)</f>
        <v>167</v>
      </c>
      <c r="G14" s="97" t="s">
        <v>122</v>
      </c>
      <c r="H14" s="101">
        <f>D14/F14</f>
        <v>49.89820359281437</v>
      </c>
      <c r="I14" s="69">
        <f aca="true" t="shared" si="0" ref="I14:I21">1050000*(2.56+0.5)/26</f>
        <v>123576.92307692308</v>
      </c>
      <c r="J14" s="68">
        <f>H14*I14</f>
        <v>6166266.467065868</v>
      </c>
      <c r="K14" s="47">
        <f>J14*L6</f>
        <v>101743396.70658682</v>
      </c>
    </row>
    <row r="15" spans="1:11" ht="33.75" customHeight="1">
      <c r="A15" s="66" t="s">
        <v>79</v>
      </c>
      <c r="B15" s="67" t="s">
        <v>25</v>
      </c>
      <c r="C15" s="116" t="s">
        <v>108</v>
      </c>
      <c r="D15" s="70">
        <v>1111</v>
      </c>
      <c r="E15" s="70" t="s">
        <v>121</v>
      </c>
      <c r="F15" s="97">
        <f>ROUND(138*0.92,0)</f>
        <v>127</v>
      </c>
      <c r="G15" s="97" t="s">
        <v>118</v>
      </c>
      <c r="H15" s="101">
        <f aca="true" t="shared" si="1" ref="H15:H20">D15/F15</f>
        <v>8.748031496062993</v>
      </c>
      <c r="I15" s="69">
        <f t="shared" si="0"/>
        <v>123576.92307692308</v>
      </c>
      <c r="J15" s="68">
        <f aca="true" t="shared" si="2" ref="J15:J21">H15*I15</f>
        <v>1081054.8152634767</v>
      </c>
      <c r="K15" s="47">
        <f>J15*L6</f>
        <v>17837404.451847367</v>
      </c>
    </row>
    <row r="16" spans="1:11" ht="21" customHeight="1">
      <c r="A16" s="66" t="s">
        <v>80</v>
      </c>
      <c r="B16" s="67" t="s">
        <v>26</v>
      </c>
      <c r="C16" s="116" t="s">
        <v>109</v>
      </c>
      <c r="D16" s="70">
        <v>1111</v>
      </c>
      <c r="E16" s="70" t="s">
        <v>104</v>
      </c>
      <c r="F16" s="97">
        <f>ROUND(65*0.92,0)</f>
        <v>60</v>
      </c>
      <c r="G16" s="97" t="s">
        <v>119</v>
      </c>
      <c r="H16" s="101">
        <f t="shared" si="1"/>
        <v>18.516666666666666</v>
      </c>
      <c r="I16" s="69">
        <f t="shared" si="0"/>
        <v>123576.92307692308</v>
      </c>
      <c r="J16" s="68">
        <f t="shared" si="2"/>
        <v>2288232.692307692</v>
      </c>
      <c r="K16" s="47">
        <f>J16*L6</f>
        <v>37755839.42307692</v>
      </c>
    </row>
    <row r="17" spans="1:11" ht="21" customHeight="1">
      <c r="A17" s="66" t="s">
        <v>81</v>
      </c>
      <c r="B17" s="67" t="s">
        <v>27</v>
      </c>
      <c r="C17" s="116" t="s">
        <v>110</v>
      </c>
      <c r="D17" s="70">
        <v>1111</v>
      </c>
      <c r="E17" s="70" t="s">
        <v>104</v>
      </c>
      <c r="F17" s="97">
        <f>ROUND(191*0.92,0)</f>
        <v>176</v>
      </c>
      <c r="G17" s="97" t="s">
        <v>119</v>
      </c>
      <c r="H17" s="101">
        <f t="shared" si="1"/>
        <v>6.3125</v>
      </c>
      <c r="I17" s="69">
        <f t="shared" si="0"/>
        <v>123576.92307692308</v>
      </c>
      <c r="J17" s="68">
        <f t="shared" si="2"/>
        <v>780079.3269230769</v>
      </c>
      <c r="K17" s="47">
        <f>J17*L6</f>
        <v>12871308.894230768</v>
      </c>
    </row>
    <row r="18" spans="1:11" ht="31.5" customHeight="1">
      <c r="A18" s="66" t="s">
        <v>82</v>
      </c>
      <c r="B18" s="67" t="s">
        <v>28</v>
      </c>
      <c r="C18" s="116" t="s">
        <v>112</v>
      </c>
      <c r="D18" s="70">
        <v>1111</v>
      </c>
      <c r="E18" s="70" t="s">
        <v>100</v>
      </c>
      <c r="F18" s="97">
        <f>ROUND(147*0.92,0)</f>
        <v>135</v>
      </c>
      <c r="G18" s="97" t="s">
        <v>120</v>
      </c>
      <c r="H18" s="108">
        <f t="shared" si="1"/>
        <v>8.22962962962963</v>
      </c>
      <c r="I18" s="81">
        <f t="shared" si="0"/>
        <v>123576.92307692308</v>
      </c>
      <c r="J18" s="68">
        <f t="shared" si="2"/>
        <v>1016992.3076923076</v>
      </c>
      <c r="K18" s="47">
        <f>J18*L6</f>
        <v>16780373.076923076</v>
      </c>
    </row>
    <row r="19" spans="1:11" ht="33" customHeight="1">
      <c r="A19" s="66" t="s">
        <v>83</v>
      </c>
      <c r="B19" s="67" t="s">
        <v>29</v>
      </c>
      <c r="C19" s="116" t="s">
        <v>111</v>
      </c>
      <c r="D19" s="70">
        <v>1111</v>
      </c>
      <c r="E19" s="70" t="s">
        <v>104</v>
      </c>
      <c r="F19" s="97">
        <f>ROUND(79*0.92,0)</f>
        <v>73</v>
      </c>
      <c r="G19" s="97" t="s">
        <v>119</v>
      </c>
      <c r="H19" s="108">
        <f t="shared" si="1"/>
        <v>15.219178082191782</v>
      </c>
      <c r="I19" s="81">
        <f t="shared" si="0"/>
        <v>123576.92307692308</v>
      </c>
      <c r="J19" s="68">
        <f t="shared" si="2"/>
        <v>1880739.1991570075</v>
      </c>
      <c r="K19" s="47">
        <f>J19*L6</f>
        <v>31032196.786090624</v>
      </c>
    </row>
    <row r="20" spans="1:11" ht="31.5" customHeight="1">
      <c r="A20" s="66" t="s">
        <v>84</v>
      </c>
      <c r="B20" s="67" t="s">
        <v>30</v>
      </c>
      <c r="C20" s="116" t="s">
        <v>113</v>
      </c>
      <c r="D20" s="70">
        <v>111</v>
      </c>
      <c r="E20" s="70" t="s">
        <v>104</v>
      </c>
      <c r="F20" s="97">
        <f>ROUND(55*0.92,0)</f>
        <v>51</v>
      </c>
      <c r="G20" s="97" t="s">
        <v>119</v>
      </c>
      <c r="H20" s="108">
        <f t="shared" si="1"/>
        <v>2.176470588235294</v>
      </c>
      <c r="I20" s="81">
        <f t="shared" si="0"/>
        <v>123576.92307692308</v>
      </c>
      <c r="J20" s="68">
        <f t="shared" si="2"/>
        <v>268961.53846153844</v>
      </c>
      <c r="K20" s="47">
        <f>J20*L6</f>
        <v>4437865.384615384</v>
      </c>
    </row>
    <row r="21" spans="1:11" ht="21" customHeight="1">
      <c r="A21" s="66" t="s">
        <v>85</v>
      </c>
      <c r="B21" s="67" t="s">
        <v>33</v>
      </c>
      <c r="C21" s="116"/>
      <c r="D21" s="70"/>
      <c r="E21" s="70"/>
      <c r="F21" s="99">
        <v>7.28</v>
      </c>
      <c r="G21" s="99"/>
      <c r="H21" s="99">
        <v>7.28</v>
      </c>
      <c r="I21" s="81">
        <f t="shared" si="0"/>
        <v>123576.92307692308</v>
      </c>
      <c r="J21" s="68">
        <f t="shared" si="2"/>
        <v>899640</v>
      </c>
      <c r="K21" s="47">
        <f>J21*L6</f>
        <v>14844060</v>
      </c>
    </row>
    <row r="22" spans="1:11" s="8" customFormat="1" ht="21" customHeight="1">
      <c r="A22" s="54" t="s">
        <v>4</v>
      </c>
      <c r="B22" s="55" t="s">
        <v>55</v>
      </c>
      <c r="C22" s="118"/>
      <c r="D22" s="87"/>
      <c r="E22" s="87"/>
      <c r="F22" s="100"/>
      <c r="G22" s="100"/>
      <c r="H22" s="105"/>
      <c r="I22" s="56"/>
      <c r="J22" s="59">
        <f>J23+J28</f>
        <v>6447892.578379795</v>
      </c>
      <c r="K22" s="45">
        <f>K23+K28</f>
        <v>106390227.5432666</v>
      </c>
    </row>
    <row r="23" spans="1:11" s="5" customFormat="1" ht="21" customHeight="1">
      <c r="A23" s="60">
        <v>1</v>
      </c>
      <c r="B23" s="61" t="s">
        <v>13</v>
      </c>
      <c r="C23" s="119"/>
      <c r="D23" s="86"/>
      <c r="E23" s="86"/>
      <c r="F23" s="100"/>
      <c r="G23" s="100"/>
      <c r="H23" s="105"/>
      <c r="I23" s="62"/>
      <c r="J23" s="65">
        <f>SUM(J24:J27)</f>
        <v>453500</v>
      </c>
      <c r="K23" s="46">
        <f>SUM(K24:K27)</f>
        <v>7482750</v>
      </c>
    </row>
    <row r="24" spans="1:11" ht="21" customHeight="1">
      <c r="A24" s="66" t="s">
        <v>77</v>
      </c>
      <c r="B24" s="67" t="s">
        <v>14</v>
      </c>
      <c r="C24" s="116"/>
      <c r="D24" s="70">
        <v>111</v>
      </c>
      <c r="E24" s="70" t="s">
        <v>100</v>
      </c>
      <c r="F24" s="101"/>
      <c r="G24" s="101"/>
      <c r="H24" s="106"/>
      <c r="I24" s="69">
        <f>2000*1.15</f>
        <v>2300</v>
      </c>
      <c r="J24" s="68">
        <f>D24*I24</f>
        <v>255300</v>
      </c>
      <c r="K24" s="47">
        <f>J24*L6</f>
        <v>4212450</v>
      </c>
    </row>
    <row r="25" spans="1:11" ht="21" customHeight="1">
      <c r="A25" s="66" t="s">
        <v>78</v>
      </c>
      <c r="B25" s="67" t="s">
        <v>9</v>
      </c>
      <c r="C25" s="116"/>
      <c r="D25" s="70">
        <v>11</v>
      </c>
      <c r="E25" s="70" t="s">
        <v>101</v>
      </c>
      <c r="F25" s="101"/>
      <c r="G25" s="101"/>
      <c r="H25" s="106"/>
      <c r="I25" s="69">
        <v>16000</v>
      </c>
      <c r="J25" s="68">
        <f>D25*I25</f>
        <v>176000</v>
      </c>
      <c r="K25" s="47">
        <f>J25*L6</f>
        <v>2904000</v>
      </c>
    </row>
    <row r="26" spans="1:11" ht="34.5" customHeight="1">
      <c r="A26" s="79" t="s">
        <v>79</v>
      </c>
      <c r="B26" s="89" t="s">
        <v>86</v>
      </c>
      <c r="C26" s="116"/>
      <c r="D26" s="70">
        <v>111</v>
      </c>
      <c r="E26" s="70" t="s">
        <v>100</v>
      </c>
      <c r="F26" s="101"/>
      <c r="G26" s="101"/>
      <c r="H26" s="106"/>
      <c r="I26" s="68">
        <v>200</v>
      </c>
      <c r="J26" s="68">
        <f>D26*I26</f>
        <v>22200</v>
      </c>
      <c r="K26" s="47">
        <f>J26*L6</f>
        <v>366300</v>
      </c>
    </row>
    <row r="27" spans="1:11" ht="21" customHeight="1">
      <c r="A27" s="66" t="s">
        <v>80</v>
      </c>
      <c r="B27" s="67" t="s">
        <v>11</v>
      </c>
      <c r="C27" s="116"/>
      <c r="D27" s="70"/>
      <c r="E27" s="70" t="s">
        <v>102</v>
      </c>
      <c r="F27" s="101"/>
      <c r="G27" s="101"/>
      <c r="H27" s="106"/>
      <c r="I27" s="69">
        <v>100000</v>
      </c>
      <c r="J27" s="68">
        <f>D27*I27</f>
        <v>0</v>
      </c>
      <c r="K27" s="47">
        <f>J27*L6</f>
        <v>0</v>
      </c>
    </row>
    <row r="28" spans="1:11" s="5" customFormat="1" ht="21" customHeight="1">
      <c r="A28" s="60">
        <v>2</v>
      </c>
      <c r="B28" s="61" t="s">
        <v>15</v>
      </c>
      <c r="C28" s="119"/>
      <c r="D28" s="86"/>
      <c r="E28" s="86"/>
      <c r="F28" s="100"/>
      <c r="G28" s="100"/>
      <c r="H28" s="105"/>
      <c r="I28" s="62"/>
      <c r="J28" s="65">
        <f>SUM(J29:J36)</f>
        <v>5994392.578379795</v>
      </c>
      <c r="K28" s="46">
        <f>SUM(K29:K36)</f>
        <v>98907477.5432666</v>
      </c>
    </row>
    <row r="29" spans="1:11" ht="37.5" customHeight="1">
      <c r="A29" s="79" t="s">
        <v>77</v>
      </c>
      <c r="B29" s="67" t="s">
        <v>36</v>
      </c>
      <c r="C29" s="116" t="s">
        <v>114</v>
      </c>
      <c r="D29" s="70">
        <v>8333</v>
      </c>
      <c r="E29" s="70" t="s">
        <v>123</v>
      </c>
      <c r="F29" s="97">
        <f>ROUND(557*0.92,0)</f>
        <v>512</v>
      </c>
      <c r="G29" s="97" t="s">
        <v>122</v>
      </c>
      <c r="H29" s="108">
        <f aca="true" t="shared" si="3" ref="H29:H35">D29/F29</f>
        <v>16.275390625</v>
      </c>
      <c r="I29" s="81">
        <f aca="true" t="shared" si="4" ref="I29:I36">1050000*(2.56+0.5)/26</f>
        <v>123576.92307692308</v>
      </c>
      <c r="J29" s="68">
        <f>H29*I29</f>
        <v>2011262.6953125</v>
      </c>
      <c r="K29" s="47">
        <f>J29*L6</f>
        <v>33185834.47265625</v>
      </c>
    </row>
    <row r="30" spans="1:11" ht="36.75" customHeight="1">
      <c r="A30" s="79" t="s">
        <v>78</v>
      </c>
      <c r="B30" s="67" t="s">
        <v>37</v>
      </c>
      <c r="C30" s="116" t="s">
        <v>115</v>
      </c>
      <c r="D30" s="70">
        <v>8333</v>
      </c>
      <c r="E30" s="70" t="s">
        <v>123</v>
      </c>
      <c r="F30" s="97">
        <f>ROUND(845*0.92,0)</f>
        <v>777</v>
      </c>
      <c r="G30" s="97" t="s">
        <v>122</v>
      </c>
      <c r="H30" s="108">
        <f t="shared" si="3"/>
        <v>10.724581724581725</v>
      </c>
      <c r="I30" s="81">
        <f t="shared" si="4"/>
        <v>123576.92307692308</v>
      </c>
      <c r="J30" s="68">
        <f aca="true" t="shared" si="5" ref="J30:J35">H30*I30</f>
        <v>1325310.810810811</v>
      </c>
      <c r="K30" s="47">
        <f>J30*L6</f>
        <v>21867628.37837838</v>
      </c>
    </row>
    <row r="31" spans="1:11" ht="36" customHeight="1">
      <c r="A31" s="79" t="s">
        <v>79</v>
      </c>
      <c r="B31" s="67" t="s">
        <v>31</v>
      </c>
      <c r="C31" s="116" t="s">
        <v>108</v>
      </c>
      <c r="D31" s="70">
        <v>1111</v>
      </c>
      <c r="E31" s="70" t="s">
        <v>121</v>
      </c>
      <c r="F31" s="97">
        <f>ROUND(138*0.92,0)</f>
        <v>127</v>
      </c>
      <c r="G31" s="97" t="s">
        <v>118</v>
      </c>
      <c r="H31" s="108">
        <f t="shared" si="3"/>
        <v>8.748031496062993</v>
      </c>
      <c r="I31" s="81">
        <f>1050000*(2.56+0.5)/26</f>
        <v>123576.92307692308</v>
      </c>
      <c r="J31" s="68">
        <f t="shared" si="5"/>
        <v>1081054.8152634767</v>
      </c>
      <c r="K31" s="47">
        <f>J31*L6</f>
        <v>17837404.451847367</v>
      </c>
    </row>
    <row r="32" spans="1:11" ht="21" customHeight="1">
      <c r="A32" s="79" t="s">
        <v>80</v>
      </c>
      <c r="B32" s="67" t="s">
        <v>26</v>
      </c>
      <c r="C32" s="116" t="s">
        <v>109</v>
      </c>
      <c r="D32" s="70">
        <v>111</v>
      </c>
      <c r="E32" s="70" t="s">
        <v>104</v>
      </c>
      <c r="F32" s="97">
        <f>ROUND(65*0.92,0)</f>
        <v>60</v>
      </c>
      <c r="G32" s="97" t="s">
        <v>119</v>
      </c>
      <c r="H32" s="108">
        <f t="shared" si="3"/>
        <v>1.85</v>
      </c>
      <c r="I32" s="81">
        <f t="shared" si="4"/>
        <v>123576.92307692308</v>
      </c>
      <c r="J32" s="68">
        <f t="shared" si="5"/>
        <v>228617.30769230772</v>
      </c>
      <c r="K32" s="47">
        <f>J32*L6</f>
        <v>3772185.5769230775</v>
      </c>
    </row>
    <row r="33" spans="1:11" ht="21" customHeight="1">
      <c r="A33" s="79" t="s">
        <v>81</v>
      </c>
      <c r="B33" s="67" t="s">
        <v>27</v>
      </c>
      <c r="C33" s="116" t="s">
        <v>110</v>
      </c>
      <c r="D33" s="97">
        <v>111</v>
      </c>
      <c r="E33" s="97" t="s">
        <v>104</v>
      </c>
      <c r="F33" s="97">
        <f>ROUND(191*0.92,0)</f>
        <v>176</v>
      </c>
      <c r="G33" s="97" t="s">
        <v>119</v>
      </c>
      <c r="H33" s="102">
        <f t="shared" si="3"/>
        <v>0.6306818181818182</v>
      </c>
      <c r="I33" s="81">
        <f t="shared" si="4"/>
        <v>123576.92307692308</v>
      </c>
      <c r="J33" s="68">
        <f>H33*I33</f>
        <v>77937.71853146853</v>
      </c>
      <c r="K33" s="47">
        <f>J33*L6</f>
        <v>1285972.3557692308</v>
      </c>
    </row>
    <row r="34" spans="1:11" ht="34.5" customHeight="1">
      <c r="A34" s="79" t="s">
        <v>82</v>
      </c>
      <c r="B34" s="67" t="s">
        <v>28</v>
      </c>
      <c r="C34" s="116" t="s">
        <v>112</v>
      </c>
      <c r="D34" s="70">
        <v>111</v>
      </c>
      <c r="E34" s="70" t="s">
        <v>100</v>
      </c>
      <c r="F34" s="97">
        <f>ROUND(147*0.92,0)</f>
        <v>135</v>
      </c>
      <c r="G34" s="97" t="s">
        <v>120</v>
      </c>
      <c r="H34" s="108">
        <f t="shared" si="3"/>
        <v>0.8222222222222222</v>
      </c>
      <c r="I34" s="81">
        <f t="shared" si="4"/>
        <v>123576.92307692308</v>
      </c>
      <c r="J34" s="68">
        <f t="shared" si="5"/>
        <v>101607.6923076923</v>
      </c>
      <c r="K34" s="47">
        <f>J34*L6</f>
        <v>1676526.923076923</v>
      </c>
    </row>
    <row r="35" spans="1:11" ht="33" customHeight="1">
      <c r="A35" s="79" t="s">
        <v>83</v>
      </c>
      <c r="B35" s="67" t="s">
        <v>32</v>
      </c>
      <c r="C35" s="116" t="s">
        <v>113</v>
      </c>
      <c r="D35" s="70">
        <v>111</v>
      </c>
      <c r="E35" s="70" t="s">
        <v>100</v>
      </c>
      <c r="F35" s="97">
        <f>ROUND(55*0.92,0)</f>
        <v>51</v>
      </c>
      <c r="G35" s="97" t="s">
        <v>120</v>
      </c>
      <c r="H35" s="108">
        <f t="shared" si="3"/>
        <v>2.176470588235294</v>
      </c>
      <c r="I35" s="81">
        <f t="shared" si="4"/>
        <v>123576.92307692308</v>
      </c>
      <c r="J35" s="68">
        <f t="shared" si="5"/>
        <v>268961.53846153844</v>
      </c>
      <c r="K35" s="47">
        <f>J35*L6</f>
        <v>4437865.384615384</v>
      </c>
    </row>
    <row r="36" spans="1:11" ht="21" customHeight="1">
      <c r="A36" s="79" t="s">
        <v>84</v>
      </c>
      <c r="B36" s="67" t="s">
        <v>33</v>
      </c>
      <c r="C36" s="116"/>
      <c r="D36" s="70"/>
      <c r="E36" s="70"/>
      <c r="F36" s="99">
        <v>7.28</v>
      </c>
      <c r="G36" s="99"/>
      <c r="H36" s="99">
        <v>7.28</v>
      </c>
      <c r="I36" s="81">
        <f t="shared" si="4"/>
        <v>123576.92307692308</v>
      </c>
      <c r="J36" s="68">
        <f>F36*I36</f>
        <v>899640</v>
      </c>
      <c r="K36" s="47">
        <f>J36*L6</f>
        <v>14844060</v>
      </c>
    </row>
    <row r="37" spans="1:11" s="8" customFormat="1" ht="21" customHeight="1">
      <c r="A37" s="54" t="s">
        <v>16</v>
      </c>
      <c r="B37" s="55" t="s">
        <v>56</v>
      </c>
      <c r="C37" s="118"/>
      <c r="D37" s="87"/>
      <c r="E37" s="87"/>
      <c r="F37" s="100"/>
      <c r="G37" s="100"/>
      <c r="H37" s="105"/>
      <c r="I37" s="56"/>
      <c r="J37" s="59">
        <f>J38+J40</f>
        <v>5317268.321386788</v>
      </c>
      <c r="K37" s="45">
        <f>K38+K40</f>
        <v>87734927.30288199</v>
      </c>
    </row>
    <row r="38" spans="1:11" s="5" customFormat="1" ht="21" customHeight="1">
      <c r="A38" s="60">
        <v>1</v>
      </c>
      <c r="B38" s="61" t="s">
        <v>13</v>
      </c>
      <c r="C38" s="119"/>
      <c r="D38" s="86"/>
      <c r="E38" s="86"/>
      <c r="F38" s="100"/>
      <c r="G38" s="100"/>
      <c r="H38" s="105"/>
      <c r="I38" s="62"/>
      <c r="J38" s="65">
        <f>J39</f>
        <v>0</v>
      </c>
      <c r="K38" s="46">
        <f>K39</f>
        <v>0</v>
      </c>
    </row>
    <row r="39" spans="1:11" ht="21" customHeight="1">
      <c r="A39" s="66" t="s">
        <v>77</v>
      </c>
      <c r="B39" s="67" t="s">
        <v>11</v>
      </c>
      <c r="C39" s="116"/>
      <c r="D39" s="70"/>
      <c r="E39" s="70" t="s">
        <v>102</v>
      </c>
      <c r="F39" s="101"/>
      <c r="G39" s="101"/>
      <c r="H39" s="106"/>
      <c r="I39" s="69">
        <v>100000</v>
      </c>
      <c r="J39" s="68">
        <f>D39*I39</f>
        <v>0</v>
      </c>
      <c r="K39" s="47">
        <f>J39*L6</f>
        <v>0</v>
      </c>
    </row>
    <row r="40" spans="1:11" s="5" customFormat="1" ht="21" customHeight="1">
      <c r="A40" s="60">
        <v>2</v>
      </c>
      <c r="B40" s="61" t="s">
        <v>15</v>
      </c>
      <c r="C40" s="119"/>
      <c r="D40" s="86"/>
      <c r="E40" s="86"/>
      <c r="F40" s="100"/>
      <c r="G40" s="100"/>
      <c r="H40" s="105"/>
      <c r="I40" s="62"/>
      <c r="J40" s="65">
        <f>SUM(J41:J44)</f>
        <v>5317268.321386788</v>
      </c>
      <c r="K40" s="46">
        <f>SUM(K41:K44)</f>
        <v>87734927.30288199</v>
      </c>
    </row>
    <row r="41" spans="1:11" ht="33" customHeight="1">
      <c r="A41" s="66" t="s">
        <v>77</v>
      </c>
      <c r="B41" s="67" t="s">
        <v>36</v>
      </c>
      <c r="C41" s="116" t="s">
        <v>114</v>
      </c>
      <c r="D41" s="70">
        <v>8333</v>
      </c>
      <c r="E41" s="70" t="s">
        <v>123</v>
      </c>
      <c r="F41" s="97">
        <f>ROUND(557*0.92,0)</f>
        <v>512</v>
      </c>
      <c r="G41" s="97" t="s">
        <v>122</v>
      </c>
      <c r="H41" s="108">
        <f>D41/F41</f>
        <v>16.275390625</v>
      </c>
      <c r="I41" s="81">
        <f>1050000*(2.56+0.5)/26</f>
        <v>123576.92307692308</v>
      </c>
      <c r="J41" s="68">
        <f>H41*I41</f>
        <v>2011262.6953125</v>
      </c>
      <c r="K41" s="47">
        <f>J41*L6</f>
        <v>33185834.47265625</v>
      </c>
    </row>
    <row r="42" spans="1:11" ht="35.25" customHeight="1">
      <c r="A42" s="66" t="s">
        <v>78</v>
      </c>
      <c r="B42" s="67" t="s">
        <v>34</v>
      </c>
      <c r="C42" s="116" t="s">
        <v>115</v>
      </c>
      <c r="D42" s="70">
        <v>8333</v>
      </c>
      <c r="E42" s="70" t="s">
        <v>123</v>
      </c>
      <c r="F42" s="97">
        <f>ROUND(845*0.92,0)</f>
        <v>777</v>
      </c>
      <c r="G42" s="97" t="s">
        <v>122</v>
      </c>
      <c r="H42" s="108">
        <f>D42/F42</f>
        <v>10.724581724581725</v>
      </c>
      <c r="I42" s="81">
        <f>1050000*(2.56+0.5)/26</f>
        <v>123576.92307692308</v>
      </c>
      <c r="J42" s="68">
        <f>H42*I42</f>
        <v>1325310.810810811</v>
      </c>
      <c r="K42" s="47">
        <f>J42*L6</f>
        <v>21867628.37837838</v>
      </c>
    </row>
    <row r="43" spans="1:11" ht="32.25" customHeight="1">
      <c r="A43" s="66" t="s">
        <v>79</v>
      </c>
      <c r="B43" s="67" t="s">
        <v>35</v>
      </c>
      <c r="C43" s="116" t="s">
        <v>108</v>
      </c>
      <c r="D43" s="70">
        <v>1111</v>
      </c>
      <c r="E43" s="70" t="s">
        <v>121</v>
      </c>
      <c r="F43" s="97">
        <f>ROUND(138*0.92,0)</f>
        <v>127</v>
      </c>
      <c r="G43" s="97" t="s">
        <v>118</v>
      </c>
      <c r="H43" s="108">
        <f>D43/F43</f>
        <v>8.748031496062993</v>
      </c>
      <c r="I43" s="81">
        <f>1050000*(2.56+0.5)/26</f>
        <v>123576.92307692308</v>
      </c>
      <c r="J43" s="68">
        <f>H43*I43</f>
        <v>1081054.8152634767</v>
      </c>
      <c r="K43" s="47">
        <f>J43*L6</f>
        <v>17837404.451847367</v>
      </c>
    </row>
    <row r="44" spans="1:11" ht="21" customHeight="1">
      <c r="A44" s="66" t="s">
        <v>80</v>
      </c>
      <c r="B44" s="67" t="s">
        <v>33</v>
      </c>
      <c r="C44" s="116"/>
      <c r="D44" s="70"/>
      <c r="E44" s="70"/>
      <c r="F44" s="99">
        <v>7.28</v>
      </c>
      <c r="G44" s="99"/>
      <c r="H44" s="102">
        <v>7.28</v>
      </c>
      <c r="I44" s="81">
        <f>1050000*(2.56+0.5)/26</f>
        <v>123576.92307692308</v>
      </c>
      <c r="J44" s="68">
        <f>H44*I44</f>
        <v>899640</v>
      </c>
      <c r="K44" s="47">
        <f>J44*L6</f>
        <v>14844060</v>
      </c>
    </row>
    <row r="45" spans="1:11" s="8" customFormat="1" ht="21" customHeight="1">
      <c r="A45" s="54" t="s">
        <v>17</v>
      </c>
      <c r="B45" s="55" t="s">
        <v>57</v>
      </c>
      <c r="C45" s="118"/>
      <c r="D45" s="87"/>
      <c r="E45" s="87"/>
      <c r="F45" s="100"/>
      <c r="G45" s="100"/>
      <c r="H45" s="105"/>
      <c r="I45" s="56"/>
      <c r="J45" s="59">
        <f>J46+J48</f>
        <v>5126075.736777836</v>
      </c>
      <c r="K45" s="45">
        <f>K46+K48</f>
        <v>84580249.6568343</v>
      </c>
    </row>
    <row r="46" spans="1:11" s="5" customFormat="1" ht="21" customHeight="1">
      <c r="A46" s="60">
        <v>1</v>
      </c>
      <c r="B46" s="61" t="s">
        <v>13</v>
      </c>
      <c r="C46" s="119"/>
      <c r="D46" s="86"/>
      <c r="E46" s="86"/>
      <c r="F46" s="100"/>
      <c r="G46" s="100"/>
      <c r="H46" s="105"/>
      <c r="I46" s="62"/>
      <c r="J46" s="65">
        <f>J47</f>
        <v>0</v>
      </c>
      <c r="K46" s="46">
        <f>K47</f>
        <v>0</v>
      </c>
    </row>
    <row r="47" spans="1:11" ht="21" customHeight="1">
      <c r="A47" s="66" t="s">
        <v>77</v>
      </c>
      <c r="B47" s="67" t="s">
        <v>11</v>
      </c>
      <c r="C47" s="116"/>
      <c r="D47" s="70"/>
      <c r="E47" s="70" t="s">
        <v>102</v>
      </c>
      <c r="F47" s="101"/>
      <c r="G47" s="101"/>
      <c r="H47" s="106"/>
      <c r="I47" s="69">
        <v>100000</v>
      </c>
      <c r="J47" s="68">
        <f>D47*I47</f>
        <v>0</v>
      </c>
      <c r="K47" s="47">
        <f>J47*L6</f>
        <v>0</v>
      </c>
    </row>
    <row r="48" spans="1:11" s="5" customFormat="1" ht="21" customHeight="1">
      <c r="A48" s="60">
        <v>2</v>
      </c>
      <c r="B48" s="61" t="s">
        <v>15</v>
      </c>
      <c r="C48" s="119"/>
      <c r="D48" s="86"/>
      <c r="E48" s="86"/>
      <c r="F48" s="100"/>
      <c r="G48" s="100"/>
      <c r="H48" s="105"/>
      <c r="I48" s="62"/>
      <c r="J48" s="65">
        <f>SUM(J49:J52)</f>
        <v>5126075.736777836</v>
      </c>
      <c r="K48" s="46">
        <f>SUM(K49:K52)</f>
        <v>84580249.6568343</v>
      </c>
    </row>
    <row r="49" spans="1:11" ht="32.25" customHeight="1">
      <c r="A49" s="66" t="s">
        <v>77</v>
      </c>
      <c r="B49" s="67" t="s">
        <v>36</v>
      </c>
      <c r="C49" s="116" t="s">
        <v>116</v>
      </c>
      <c r="D49" s="70">
        <v>8333</v>
      </c>
      <c r="E49" s="70" t="s">
        <v>123</v>
      </c>
      <c r="F49" s="97">
        <f>ROUND(699*0.92,0)</f>
        <v>643</v>
      </c>
      <c r="G49" s="97" t="s">
        <v>122</v>
      </c>
      <c r="H49" s="108">
        <f>D49/F49</f>
        <v>12.959564541213064</v>
      </c>
      <c r="I49" s="81">
        <f>1050000*(2.56+0.5)/26</f>
        <v>123576.92307692308</v>
      </c>
      <c r="J49" s="68">
        <f>H49*I49</f>
        <v>1601503.1104199067</v>
      </c>
      <c r="K49" s="47">
        <f>J49*L6</f>
        <v>26424801.32192846</v>
      </c>
    </row>
    <row r="50" spans="1:11" ht="34.5" customHeight="1">
      <c r="A50" s="66" t="s">
        <v>78</v>
      </c>
      <c r="B50" s="67" t="s">
        <v>37</v>
      </c>
      <c r="C50" s="116" t="s">
        <v>117</v>
      </c>
      <c r="D50" s="70">
        <v>8333</v>
      </c>
      <c r="E50" s="70" t="s">
        <v>123</v>
      </c>
      <c r="F50" s="97">
        <f>ROUND(725*0.92,0)</f>
        <v>667</v>
      </c>
      <c r="G50" s="97" t="s">
        <v>122</v>
      </c>
      <c r="H50" s="108">
        <f>D50/F50</f>
        <v>12.493253373313344</v>
      </c>
      <c r="I50" s="81">
        <f>1050000*(2.56+0.5)/26</f>
        <v>123576.92307692308</v>
      </c>
      <c r="J50" s="68">
        <f>H50*I50</f>
        <v>1543877.8110944529</v>
      </c>
      <c r="K50" s="47">
        <f>J50*L6</f>
        <v>25473983.883058473</v>
      </c>
    </row>
    <row r="51" spans="1:11" ht="33.75" customHeight="1">
      <c r="A51" s="66" t="s">
        <v>79</v>
      </c>
      <c r="B51" s="67" t="s">
        <v>35</v>
      </c>
      <c r="C51" s="116" t="s">
        <v>108</v>
      </c>
      <c r="D51" s="70">
        <v>1111</v>
      </c>
      <c r="E51" s="70" t="s">
        <v>121</v>
      </c>
      <c r="F51" s="97">
        <f>ROUND(138*0.92,0)</f>
        <v>127</v>
      </c>
      <c r="G51" s="97" t="s">
        <v>118</v>
      </c>
      <c r="H51" s="108">
        <f>D51/F51</f>
        <v>8.748031496062993</v>
      </c>
      <c r="I51" s="81">
        <f>1050000*(2.56+0.5)/26</f>
        <v>123576.92307692308</v>
      </c>
      <c r="J51" s="68">
        <f>H51*I51</f>
        <v>1081054.8152634767</v>
      </c>
      <c r="K51" s="47">
        <f>J51*L6</f>
        <v>17837404.451847367</v>
      </c>
    </row>
    <row r="52" spans="1:11" ht="25.5" customHeight="1">
      <c r="A52" s="66" t="s">
        <v>80</v>
      </c>
      <c r="B52" s="67" t="s">
        <v>33</v>
      </c>
      <c r="C52" s="116"/>
      <c r="D52" s="70"/>
      <c r="E52" s="70"/>
      <c r="F52" s="99">
        <v>7.28</v>
      </c>
      <c r="G52" s="99"/>
      <c r="H52" s="102">
        <v>7.28</v>
      </c>
      <c r="I52" s="81">
        <f>1050000*(2.56+0.5)/26</f>
        <v>123576.92307692308</v>
      </c>
      <c r="J52" s="68">
        <f>H52*I52</f>
        <v>899640</v>
      </c>
      <c r="K52" s="47">
        <f>J52*L6</f>
        <v>14844060</v>
      </c>
    </row>
    <row r="53" spans="1:11" s="8" customFormat="1" ht="21" customHeight="1">
      <c r="A53" s="54" t="s">
        <v>18</v>
      </c>
      <c r="B53" s="55" t="s">
        <v>58</v>
      </c>
      <c r="C53" s="118"/>
      <c r="D53" s="87"/>
      <c r="E53" s="87"/>
      <c r="F53" s="100"/>
      <c r="G53" s="100"/>
      <c r="H53" s="105"/>
      <c r="I53" s="56"/>
      <c r="J53" s="59">
        <f>J54+J56</f>
        <v>3524572.62635793</v>
      </c>
      <c r="K53" s="45">
        <f>K54+K56</f>
        <v>58155448.33490584</v>
      </c>
    </row>
    <row r="54" spans="1:11" s="5" customFormat="1" ht="21" customHeight="1">
      <c r="A54" s="60">
        <v>1</v>
      </c>
      <c r="B54" s="61" t="s">
        <v>13</v>
      </c>
      <c r="C54" s="119"/>
      <c r="D54" s="86"/>
      <c r="E54" s="86"/>
      <c r="F54" s="100"/>
      <c r="G54" s="100"/>
      <c r="H54" s="105"/>
      <c r="I54" s="62"/>
      <c r="J54" s="65">
        <f>J55</f>
        <v>0</v>
      </c>
      <c r="K54" s="46">
        <f>K55</f>
        <v>0</v>
      </c>
    </row>
    <row r="55" spans="1:11" ht="21" customHeight="1">
      <c r="A55" s="66" t="s">
        <v>77</v>
      </c>
      <c r="B55" s="67" t="s">
        <v>11</v>
      </c>
      <c r="C55" s="116"/>
      <c r="D55" s="70"/>
      <c r="E55" s="70"/>
      <c r="F55" s="101"/>
      <c r="G55" s="101"/>
      <c r="H55" s="106"/>
      <c r="I55" s="69">
        <v>100000</v>
      </c>
      <c r="J55" s="68">
        <f>D55*I55</f>
        <v>0</v>
      </c>
      <c r="K55" s="47">
        <f>J55*L6</f>
        <v>0</v>
      </c>
    </row>
    <row r="56" spans="1:11" s="5" customFormat="1" ht="21" customHeight="1">
      <c r="A56" s="60">
        <v>2</v>
      </c>
      <c r="B56" s="61" t="s">
        <v>15</v>
      </c>
      <c r="C56" s="119"/>
      <c r="D56" s="86"/>
      <c r="E56" s="86"/>
      <c r="F56" s="100"/>
      <c r="G56" s="100"/>
      <c r="H56" s="105"/>
      <c r="I56" s="62"/>
      <c r="J56" s="65">
        <f>SUM(J57:J59)</f>
        <v>3524572.62635793</v>
      </c>
      <c r="K56" s="46">
        <f>SUM(K57:K59)</f>
        <v>58155448.33490584</v>
      </c>
    </row>
    <row r="57" spans="1:11" ht="34.5" customHeight="1">
      <c r="A57" s="79" t="s">
        <v>77</v>
      </c>
      <c r="B57" s="67" t="s">
        <v>38</v>
      </c>
      <c r="C57" s="116" t="s">
        <v>117</v>
      </c>
      <c r="D57" s="70">
        <v>8333</v>
      </c>
      <c r="E57" s="70" t="s">
        <v>123</v>
      </c>
      <c r="F57" s="97">
        <f>ROUND(725*0.92,0)</f>
        <v>667</v>
      </c>
      <c r="G57" s="97" t="s">
        <v>122</v>
      </c>
      <c r="H57" s="108">
        <f>D57/F57</f>
        <v>12.493253373313344</v>
      </c>
      <c r="I57" s="81">
        <f>1050000*(2.56+0.5)/26</f>
        <v>123576.92307692308</v>
      </c>
      <c r="J57" s="68">
        <f>H57*I57</f>
        <v>1543877.8110944529</v>
      </c>
      <c r="K57" s="47">
        <f>J57*L6</f>
        <v>25473983.883058473</v>
      </c>
    </row>
    <row r="58" spans="1:11" ht="22.5" customHeight="1">
      <c r="A58" s="79" t="s">
        <v>78</v>
      </c>
      <c r="B58" s="67" t="s">
        <v>129</v>
      </c>
      <c r="C58" s="116"/>
      <c r="D58" s="70">
        <v>1111</v>
      </c>
      <c r="E58" s="70" t="str">
        <f>E43</f>
        <v>gốc</v>
      </c>
      <c r="F58" s="97">
        <v>127</v>
      </c>
      <c r="G58" s="97" t="str">
        <f>G51</f>
        <v>gốc/công</v>
      </c>
      <c r="H58" s="108">
        <f>D58/F58</f>
        <v>8.748031496062993</v>
      </c>
      <c r="I58" s="81">
        <f>I57</f>
        <v>123576.92307692308</v>
      </c>
      <c r="J58" s="68">
        <f>I58*H58</f>
        <v>1081054.8152634767</v>
      </c>
      <c r="K58" s="47">
        <f>J58*L6</f>
        <v>17837404.451847367</v>
      </c>
    </row>
    <row r="59" spans="1:11" ht="21" customHeight="1">
      <c r="A59" s="79" t="s">
        <v>79</v>
      </c>
      <c r="B59" s="67" t="s">
        <v>33</v>
      </c>
      <c r="C59" s="116"/>
      <c r="D59" s="70"/>
      <c r="E59" s="70"/>
      <c r="F59" s="99">
        <v>7.28</v>
      </c>
      <c r="G59" s="99"/>
      <c r="H59" s="102">
        <v>7.28</v>
      </c>
      <c r="I59" s="81">
        <f>1050000*(2.56+0.5)/26</f>
        <v>123576.92307692308</v>
      </c>
      <c r="J59" s="68">
        <f>F59*I59</f>
        <v>899640</v>
      </c>
      <c r="K59" s="47">
        <f>J59*L6</f>
        <v>14844060</v>
      </c>
    </row>
    <row r="60" spans="1:11" s="8" customFormat="1" ht="21" customHeight="1">
      <c r="A60" s="54" t="s">
        <v>19</v>
      </c>
      <c r="B60" s="55" t="s">
        <v>59</v>
      </c>
      <c r="C60" s="118"/>
      <c r="D60" s="87"/>
      <c r="E60" s="87"/>
      <c r="F60" s="100"/>
      <c r="G60" s="100"/>
      <c r="H60" s="105"/>
      <c r="I60" s="69"/>
      <c r="J60" s="59">
        <f>SUM(J61:J61)</f>
        <v>899640</v>
      </c>
      <c r="K60" s="45">
        <f>SUM(K61:K62)</f>
        <v>14844060</v>
      </c>
    </row>
    <row r="61" spans="1:11" ht="21" customHeight="1">
      <c r="A61" s="66" t="s">
        <v>77</v>
      </c>
      <c r="B61" s="67" t="s">
        <v>33</v>
      </c>
      <c r="C61" s="116"/>
      <c r="D61" s="70"/>
      <c r="E61" s="70"/>
      <c r="F61" s="99">
        <v>7.28</v>
      </c>
      <c r="G61" s="99"/>
      <c r="H61" s="102">
        <v>7.28</v>
      </c>
      <c r="I61" s="81">
        <f>1050000*(2.56+0.5)/26</f>
        <v>123576.92307692308</v>
      </c>
      <c r="J61" s="68">
        <f>F61*I61</f>
        <v>899640</v>
      </c>
      <c r="K61" s="47">
        <f>J61*L6</f>
        <v>14844060</v>
      </c>
    </row>
    <row r="62" spans="1:11" ht="21" customHeight="1">
      <c r="A62" s="66" t="s">
        <v>78</v>
      </c>
      <c r="B62" s="67" t="s">
        <v>11</v>
      </c>
      <c r="C62" s="116"/>
      <c r="D62" s="70"/>
      <c r="E62" s="70" t="s">
        <v>102</v>
      </c>
      <c r="F62" s="101"/>
      <c r="G62" s="101"/>
      <c r="H62" s="106"/>
      <c r="I62" s="69">
        <v>100000</v>
      </c>
      <c r="J62" s="68">
        <f>D62*I62</f>
        <v>0</v>
      </c>
      <c r="K62" s="47">
        <f>J62*L6</f>
        <v>0</v>
      </c>
    </row>
    <row r="63" spans="1:11" s="8" customFormat="1" ht="21" customHeight="1">
      <c r="A63" s="54" t="s">
        <v>20</v>
      </c>
      <c r="B63" s="55" t="s">
        <v>60</v>
      </c>
      <c r="C63" s="118"/>
      <c r="D63" s="87"/>
      <c r="E63" s="87"/>
      <c r="F63" s="100"/>
      <c r="G63" s="100"/>
      <c r="H63" s="105"/>
      <c r="I63" s="56"/>
      <c r="J63" s="59">
        <f>SUM(J64:J64)</f>
        <v>899640</v>
      </c>
      <c r="K63" s="45">
        <f>SUM(K64:K65)</f>
        <v>14844060</v>
      </c>
    </row>
    <row r="64" spans="1:11" ht="21" customHeight="1">
      <c r="A64" s="66" t="s">
        <v>77</v>
      </c>
      <c r="B64" s="67" t="s">
        <v>33</v>
      </c>
      <c r="C64" s="116"/>
      <c r="D64" s="70"/>
      <c r="E64" s="70"/>
      <c r="F64" s="99">
        <v>7.28</v>
      </c>
      <c r="G64" s="99"/>
      <c r="H64" s="102">
        <v>7.28</v>
      </c>
      <c r="I64" s="81">
        <f>1050000*(2.56+0.5)/26</f>
        <v>123576.92307692308</v>
      </c>
      <c r="J64" s="68">
        <f>F64*I64</f>
        <v>899640</v>
      </c>
      <c r="K64" s="47">
        <f>J64*L6</f>
        <v>14844060</v>
      </c>
    </row>
    <row r="65" spans="1:11" ht="21" customHeight="1">
      <c r="A65" s="66" t="s">
        <v>78</v>
      </c>
      <c r="B65" s="67" t="s">
        <v>11</v>
      </c>
      <c r="C65" s="116"/>
      <c r="D65" s="70"/>
      <c r="E65" s="70" t="s">
        <v>102</v>
      </c>
      <c r="F65" s="101"/>
      <c r="G65" s="101"/>
      <c r="H65" s="106"/>
      <c r="I65" s="69">
        <v>100000</v>
      </c>
      <c r="J65" s="68">
        <f>D65*I65</f>
        <v>0</v>
      </c>
      <c r="K65" s="47">
        <f>J65*L6</f>
        <v>0</v>
      </c>
    </row>
    <row r="66" spans="1:11" s="8" customFormat="1" ht="21" customHeight="1">
      <c r="A66" s="54" t="s">
        <v>21</v>
      </c>
      <c r="B66" s="55" t="s">
        <v>61</v>
      </c>
      <c r="C66" s="118"/>
      <c r="D66" s="87"/>
      <c r="E66" s="87"/>
      <c r="F66" s="100"/>
      <c r="G66" s="100"/>
      <c r="H66" s="105"/>
      <c r="I66" s="56"/>
      <c r="J66" s="59">
        <f>SUM(J67:J67)</f>
        <v>899640</v>
      </c>
      <c r="K66" s="45">
        <f>SUM(K67:K68)</f>
        <v>14844060</v>
      </c>
    </row>
    <row r="67" spans="1:11" ht="21" customHeight="1">
      <c r="A67" s="66" t="s">
        <v>77</v>
      </c>
      <c r="B67" s="67" t="s">
        <v>33</v>
      </c>
      <c r="C67" s="116"/>
      <c r="D67" s="70"/>
      <c r="E67" s="70"/>
      <c r="F67" s="99">
        <v>7.28</v>
      </c>
      <c r="G67" s="99"/>
      <c r="H67" s="102">
        <v>7.28</v>
      </c>
      <c r="I67" s="81">
        <f>1050000*(2.56+0.5)/26</f>
        <v>123576.92307692308</v>
      </c>
      <c r="J67" s="68">
        <f>F67*I67</f>
        <v>899640</v>
      </c>
      <c r="K67" s="47">
        <f>J67*L6</f>
        <v>14844060</v>
      </c>
    </row>
    <row r="68" spans="1:11" ht="21" customHeight="1">
      <c r="A68" s="66" t="s">
        <v>78</v>
      </c>
      <c r="B68" s="67" t="s">
        <v>11</v>
      </c>
      <c r="C68" s="116"/>
      <c r="D68" s="70"/>
      <c r="E68" s="70" t="s">
        <v>102</v>
      </c>
      <c r="F68" s="101"/>
      <c r="G68" s="101"/>
      <c r="H68" s="106"/>
      <c r="I68" s="69">
        <v>100000</v>
      </c>
      <c r="J68" s="68">
        <f>D68*I68</f>
        <v>0</v>
      </c>
      <c r="K68" s="47">
        <f>J68*L6</f>
        <v>0</v>
      </c>
    </row>
    <row r="69" spans="1:11" s="8" customFormat="1" ht="21" customHeight="1">
      <c r="A69" s="54" t="s">
        <v>22</v>
      </c>
      <c r="B69" s="55" t="s">
        <v>62</v>
      </c>
      <c r="C69" s="118"/>
      <c r="D69" s="87"/>
      <c r="E69" s="87"/>
      <c r="F69" s="100"/>
      <c r="G69" s="100"/>
      <c r="H69" s="105"/>
      <c r="I69" s="56"/>
      <c r="J69" s="59">
        <f>SUM(J70:J70)</f>
        <v>899640</v>
      </c>
      <c r="K69" s="45">
        <f>SUM(K70:K71)</f>
        <v>14844060</v>
      </c>
    </row>
    <row r="70" spans="1:11" ht="21" customHeight="1">
      <c r="A70" s="66" t="s">
        <v>77</v>
      </c>
      <c r="B70" s="67" t="s">
        <v>33</v>
      </c>
      <c r="C70" s="116"/>
      <c r="D70" s="70"/>
      <c r="E70" s="70"/>
      <c r="F70" s="99">
        <v>7.28</v>
      </c>
      <c r="G70" s="99"/>
      <c r="H70" s="102">
        <v>7.28</v>
      </c>
      <c r="I70" s="81">
        <f>1050000*(2.56+0.5)/26</f>
        <v>123576.92307692308</v>
      </c>
      <c r="J70" s="68">
        <f>F70*I70</f>
        <v>899640</v>
      </c>
      <c r="K70" s="47">
        <f>J70*L6</f>
        <v>14844060</v>
      </c>
    </row>
    <row r="71" spans="1:11" ht="21" customHeight="1">
      <c r="A71" s="66" t="s">
        <v>78</v>
      </c>
      <c r="B71" s="67" t="s">
        <v>11</v>
      </c>
      <c r="C71" s="116"/>
      <c r="D71" s="70"/>
      <c r="E71" s="70" t="s">
        <v>102</v>
      </c>
      <c r="F71" s="101"/>
      <c r="G71" s="101"/>
      <c r="H71" s="106"/>
      <c r="I71" s="69">
        <v>100000</v>
      </c>
      <c r="J71" s="68">
        <f>D71*I71</f>
        <v>0</v>
      </c>
      <c r="K71" s="47">
        <f>J71*L6</f>
        <v>0</v>
      </c>
    </row>
    <row r="72" spans="1:11" s="8" customFormat="1" ht="21" customHeight="1">
      <c r="A72" s="54" t="s">
        <v>23</v>
      </c>
      <c r="B72" s="55" t="s">
        <v>63</v>
      </c>
      <c r="C72" s="118"/>
      <c r="D72" s="87"/>
      <c r="E72" s="87"/>
      <c r="F72" s="100"/>
      <c r="G72" s="100"/>
      <c r="H72" s="105"/>
      <c r="I72" s="56"/>
      <c r="J72" s="59">
        <f>SUM(J73:J73)</f>
        <v>899640</v>
      </c>
      <c r="K72" s="45">
        <f>SUM(K73:K74)</f>
        <v>14844060</v>
      </c>
    </row>
    <row r="73" spans="1:11" ht="21" customHeight="1">
      <c r="A73" s="66" t="s">
        <v>77</v>
      </c>
      <c r="B73" s="67" t="s">
        <v>33</v>
      </c>
      <c r="C73" s="116"/>
      <c r="D73" s="70"/>
      <c r="E73" s="70"/>
      <c r="F73" s="99">
        <v>7.28</v>
      </c>
      <c r="G73" s="99"/>
      <c r="H73" s="102">
        <v>7.28</v>
      </c>
      <c r="I73" s="81">
        <f>1050000*(2.56+0.5)/26</f>
        <v>123576.92307692308</v>
      </c>
      <c r="J73" s="68">
        <f>F73*I73</f>
        <v>899640</v>
      </c>
      <c r="K73" s="47">
        <f>J73*L6</f>
        <v>14844060</v>
      </c>
    </row>
    <row r="74" spans="1:11" ht="21" customHeight="1">
      <c r="A74" s="90" t="s">
        <v>78</v>
      </c>
      <c r="B74" s="67" t="s">
        <v>11</v>
      </c>
      <c r="C74" s="116"/>
      <c r="D74" s="70"/>
      <c r="E74" s="70" t="s">
        <v>102</v>
      </c>
      <c r="F74" s="73"/>
      <c r="G74" s="101"/>
      <c r="H74" s="106"/>
      <c r="I74" s="69">
        <v>100000</v>
      </c>
      <c r="J74" s="68">
        <f>D74*I74</f>
        <v>0</v>
      </c>
      <c r="K74" s="91">
        <f>J74*L6</f>
        <v>0</v>
      </c>
    </row>
    <row r="75" spans="1:11" s="9" customFormat="1" ht="21" customHeight="1" thickBot="1">
      <c r="A75" s="74"/>
      <c r="B75" s="75" t="s">
        <v>5</v>
      </c>
      <c r="C75" s="120"/>
      <c r="D75" s="77"/>
      <c r="E75" s="77"/>
      <c r="F75" s="78"/>
      <c r="G75" s="115"/>
      <c r="H75" s="109"/>
      <c r="I75" s="76"/>
      <c r="J75" s="48">
        <f>J6+J22+J37+J45+J53+J60+J63+J66+J69+J72</f>
        <v>44126975.609773315</v>
      </c>
      <c r="K75" s="48">
        <f>K6+K22+K37+K45+K53+K60+K63+K66+K69+K72</f>
        <v>728095097.5612597</v>
      </c>
    </row>
    <row r="76" spans="1:11" s="9" customFormat="1" ht="21" customHeight="1" thickTop="1">
      <c r="A76" s="135"/>
      <c r="B76" s="136"/>
      <c r="C76" s="137"/>
      <c r="D76" s="135"/>
      <c r="E76" s="135"/>
      <c r="F76" s="138"/>
      <c r="G76" s="139"/>
      <c r="H76" s="140"/>
      <c r="I76" s="141"/>
      <c r="J76" s="142"/>
      <c r="K76" s="142"/>
    </row>
    <row r="77" spans="1:11" s="9" customFormat="1" ht="21" customHeight="1">
      <c r="A77" s="135"/>
      <c r="B77" s="136"/>
      <c r="C77" s="137"/>
      <c r="D77" s="135"/>
      <c r="E77" s="135"/>
      <c r="F77" s="138"/>
      <c r="G77" s="139"/>
      <c r="H77" s="140"/>
      <c r="I77" s="141"/>
      <c r="J77" s="142"/>
      <c r="K77" s="142"/>
    </row>
    <row r="78" spans="1:11" s="9" customFormat="1" ht="21" customHeight="1">
      <c r="A78" s="135"/>
      <c r="B78" s="136"/>
      <c r="C78" s="137"/>
      <c r="D78" s="135"/>
      <c r="E78" s="135"/>
      <c r="F78" s="138"/>
      <c r="G78" s="139"/>
      <c r="H78" s="140"/>
      <c r="I78" s="141"/>
      <c r="J78" s="142"/>
      <c r="K78" s="142"/>
    </row>
    <row r="79" spans="1:11" s="9" customFormat="1" ht="21" customHeight="1">
      <c r="A79" s="135"/>
      <c r="B79" s="136"/>
      <c r="C79" s="137"/>
      <c r="D79" s="135"/>
      <c r="E79" s="135"/>
      <c r="F79" s="138"/>
      <c r="G79" s="139"/>
      <c r="H79" s="140"/>
      <c r="I79" s="141"/>
      <c r="J79" s="142"/>
      <c r="K79" s="142"/>
    </row>
    <row r="80" spans="1:11" s="9" customFormat="1" ht="21" customHeight="1">
      <c r="A80" s="135"/>
      <c r="B80" s="136"/>
      <c r="C80" s="137"/>
      <c r="D80" s="135"/>
      <c r="E80" s="135"/>
      <c r="F80" s="138"/>
      <c r="G80" s="139"/>
      <c r="H80" s="140"/>
      <c r="I80" s="141"/>
      <c r="J80" s="142"/>
      <c r="K80" s="142"/>
    </row>
    <row r="81" spans="1:11" s="9" customFormat="1" ht="21" customHeight="1">
      <c r="A81" s="135"/>
      <c r="B81" s="136"/>
      <c r="C81" s="137"/>
      <c r="D81" s="135"/>
      <c r="E81" s="135"/>
      <c r="F81" s="138"/>
      <c r="G81" s="139"/>
      <c r="H81" s="140"/>
      <c r="I81" s="141"/>
      <c r="J81" s="142"/>
      <c r="K81" s="142"/>
    </row>
    <row r="82" spans="1:11" s="9" customFormat="1" ht="21" customHeight="1">
      <c r="A82" s="135"/>
      <c r="B82" s="136"/>
      <c r="C82" s="137"/>
      <c r="D82" s="135"/>
      <c r="E82" s="135"/>
      <c r="F82" s="138"/>
      <c r="G82" s="139"/>
      <c r="H82" s="140"/>
      <c r="I82" s="141"/>
      <c r="J82" s="142"/>
      <c r="K82" s="142"/>
    </row>
    <row r="83" spans="1:11" s="9" customFormat="1" ht="21" customHeight="1">
      <c r="A83" s="135"/>
      <c r="B83" s="136"/>
      <c r="C83" s="137"/>
      <c r="D83" s="135"/>
      <c r="E83" s="135"/>
      <c r="F83" s="138"/>
      <c r="G83" s="139"/>
      <c r="H83" s="140"/>
      <c r="I83" s="141"/>
      <c r="J83" s="142"/>
      <c r="K83" s="142"/>
    </row>
    <row r="84" spans="1:11" s="9" customFormat="1" ht="21" customHeight="1">
      <c r="A84" s="135"/>
      <c r="B84" s="136"/>
      <c r="C84" s="137"/>
      <c r="D84" s="135"/>
      <c r="E84" s="135"/>
      <c r="F84" s="138"/>
      <c r="G84" s="139"/>
      <c r="H84" s="140"/>
      <c r="I84" s="141"/>
      <c r="J84" s="142"/>
      <c r="K84" s="142"/>
    </row>
    <row r="85" spans="1:11" s="9" customFormat="1" ht="126.75" customHeight="1">
      <c r="A85" s="135"/>
      <c r="B85" s="136"/>
      <c r="C85" s="137"/>
      <c r="D85" s="135"/>
      <c r="E85" s="135"/>
      <c r="F85" s="138"/>
      <c r="G85" s="139"/>
      <c r="H85" s="140"/>
      <c r="I85" s="141"/>
      <c r="J85" s="142"/>
      <c r="K85" s="142"/>
    </row>
    <row r="86" spans="1:11" s="9" customFormat="1" ht="21" customHeight="1">
      <c r="A86" s="135"/>
      <c r="B86" s="136"/>
      <c r="C86" s="137"/>
      <c r="D86" s="135"/>
      <c r="E86" s="135"/>
      <c r="F86" s="138"/>
      <c r="G86" s="139"/>
      <c r="H86" s="140"/>
      <c r="I86" s="141"/>
      <c r="J86" s="142"/>
      <c r="K86" s="142"/>
    </row>
    <row r="87" spans="1:11" s="9" customFormat="1" ht="36.75" customHeight="1">
      <c r="A87" s="135"/>
      <c r="B87" s="136"/>
      <c r="C87" s="137"/>
      <c r="D87" s="135"/>
      <c r="E87" s="135"/>
      <c r="F87" s="138"/>
      <c r="G87" s="139"/>
      <c r="H87" s="140"/>
      <c r="I87" s="141"/>
      <c r="J87" s="142"/>
      <c r="K87" s="142"/>
    </row>
    <row r="88" spans="1:11" s="9" customFormat="1" ht="21" customHeight="1">
      <c r="A88" s="135"/>
      <c r="B88" s="136"/>
      <c r="C88" s="137"/>
      <c r="D88" s="135"/>
      <c r="E88" s="135"/>
      <c r="F88" s="138"/>
      <c r="G88" s="139"/>
      <c r="H88" s="140"/>
      <c r="I88" s="141"/>
      <c r="J88" s="142"/>
      <c r="K88" s="142"/>
    </row>
    <row r="89" spans="1:11" s="9" customFormat="1" ht="21" customHeight="1">
      <c r="A89" s="135"/>
      <c r="B89" s="136"/>
      <c r="C89" s="137"/>
      <c r="D89" s="135"/>
      <c r="E89" s="135"/>
      <c r="F89" s="138"/>
      <c r="G89" s="139"/>
      <c r="H89" s="140"/>
      <c r="I89" s="141"/>
      <c r="J89" s="142"/>
      <c r="K89" s="142"/>
    </row>
    <row r="90" spans="1:11" s="9" customFormat="1" ht="21" customHeight="1">
      <c r="A90" s="135"/>
      <c r="B90" s="136"/>
      <c r="C90" s="137"/>
      <c r="D90" s="135"/>
      <c r="E90" s="135"/>
      <c r="F90" s="138"/>
      <c r="G90" s="139"/>
      <c r="H90" s="140"/>
      <c r="I90" s="141"/>
      <c r="J90" s="142"/>
      <c r="K90" s="142"/>
    </row>
    <row r="91" spans="1:11" s="9" customFormat="1" ht="21" customHeight="1">
      <c r="A91" s="135"/>
      <c r="B91" s="136"/>
      <c r="C91" s="137"/>
      <c r="D91" s="135"/>
      <c r="E91" s="135"/>
      <c r="F91" s="138"/>
      <c r="G91" s="139"/>
      <c r="H91" s="140"/>
      <c r="I91" s="141"/>
      <c r="J91" s="142"/>
      <c r="K91" s="142"/>
    </row>
    <row r="92" spans="1:11" s="9" customFormat="1" ht="21" customHeight="1">
      <c r="A92" s="135"/>
      <c r="B92" s="136"/>
      <c r="C92" s="137"/>
      <c r="D92" s="135"/>
      <c r="E92" s="135"/>
      <c r="F92" s="138"/>
      <c r="G92" s="139"/>
      <c r="H92" s="140"/>
      <c r="I92" s="141"/>
      <c r="J92" s="142"/>
      <c r="K92" s="142"/>
    </row>
    <row r="93" spans="1:11" s="9" customFormat="1" ht="21" customHeight="1">
      <c r="A93" s="135"/>
      <c r="B93" s="136"/>
      <c r="C93" s="137"/>
      <c r="D93" s="135"/>
      <c r="E93" s="135"/>
      <c r="F93" s="138"/>
      <c r="G93" s="139"/>
      <c r="H93" s="140"/>
      <c r="I93" s="141"/>
      <c r="J93" s="142"/>
      <c r="K93" s="142"/>
    </row>
    <row r="94" spans="1:11" s="9" customFormat="1" ht="21" customHeight="1">
      <c r="A94" s="160" t="s">
        <v>132</v>
      </c>
      <c r="B94" s="160"/>
      <c r="C94" s="160"/>
      <c r="D94" s="160"/>
      <c r="E94" s="160"/>
      <c r="F94" s="160"/>
      <c r="G94" s="160"/>
      <c r="H94" s="160"/>
      <c r="I94" s="160"/>
      <c r="J94" s="160"/>
      <c r="K94" s="160"/>
    </row>
    <row r="95" spans="1:11" s="9" customFormat="1" ht="21" customHeight="1">
      <c r="A95" s="161" t="s">
        <v>148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</row>
    <row r="96" spans="1:11" s="9" customFormat="1" ht="21" customHeight="1" thickBot="1">
      <c r="A96" s="162" t="s">
        <v>90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</row>
    <row r="97" spans="1:11" s="9" customFormat="1" ht="53.25" customHeight="1" thickTop="1">
      <c r="A97" s="49" t="s">
        <v>6</v>
      </c>
      <c r="B97" s="50" t="s">
        <v>7</v>
      </c>
      <c r="C97" s="98" t="s">
        <v>106</v>
      </c>
      <c r="D97" s="50" t="s">
        <v>0</v>
      </c>
      <c r="E97" s="51" t="s">
        <v>105</v>
      </c>
      <c r="F97" s="52" t="s">
        <v>1</v>
      </c>
      <c r="G97" s="111" t="s">
        <v>105</v>
      </c>
      <c r="H97" s="104" t="s">
        <v>2</v>
      </c>
      <c r="I97" s="51" t="s">
        <v>24</v>
      </c>
      <c r="J97" s="51" t="s">
        <v>88</v>
      </c>
      <c r="K97" s="53" t="s">
        <v>89</v>
      </c>
    </row>
    <row r="98" spans="1:12" s="9" customFormat="1" ht="21" customHeight="1">
      <c r="A98" s="54" t="s">
        <v>3</v>
      </c>
      <c r="B98" s="55" t="s">
        <v>76</v>
      </c>
      <c r="C98" s="118"/>
      <c r="D98" s="57"/>
      <c r="E98" s="57"/>
      <c r="F98" s="58"/>
      <c r="G98" s="112"/>
      <c r="H98" s="105"/>
      <c r="I98" s="56"/>
      <c r="J98" s="59">
        <f>J99+J103</f>
        <v>19212966.346870966</v>
      </c>
      <c r="K98" s="45">
        <f>K99+K103</f>
        <v>317013944.7233709</v>
      </c>
      <c r="L98" s="9">
        <f>L6</f>
        <v>16.5</v>
      </c>
    </row>
    <row r="99" spans="1:11" s="9" customFormat="1" ht="21" customHeight="1">
      <c r="A99" s="60">
        <v>1</v>
      </c>
      <c r="B99" s="61" t="s">
        <v>8</v>
      </c>
      <c r="C99" s="119"/>
      <c r="D99" s="63"/>
      <c r="E99" s="63"/>
      <c r="F99" s="64"/>
      <c r="G99" s="112"/>
      <c r="H99" s="105"/>
      <c r="I99" s="62"/>
      <c r="J99" s="65">
        <f>SUM(J100:J102)</f>
        <v>4831000</v>
      </c>
      <c r="K99" s="46">
        <f>SUM(K100:K102)</f>
        <v>79711500</v>
      </c>
    </row>
    <row r="100" spans="1:11" s="9" customFormat="1" ht="21" customHeight="1">
      <c r="A100" s="66" t="s">
        <v>77</v>
      </c>
      <c r="B100" s="67" t="s">
        <v>39</v>
      </c>
      <c r="C100" s="116"/>
      <c r="D100" s="70">
        <v>1222</v>
      </c>
      <c r="E100" s="85" t="s">
        <v>100</v>
      </c>
      <c r="F100" s="69"/>
      <c r="G100" s="113"/>
      <c r="H100" s="106"/>
      <c r="I100" s="69">
        <f>2000*1.15</f>
        <v>2300</v>
      </c>
      <c r="J100" s="68">
        <f>D100*I100</f>
        <v>2810600</v>
      </c>
      <c r="K100" s="47">
        <f>J100*L98</f>
        <v>46374900</v>
      </c>
    </row>
    <row r="101" spans="1:11" s="9" customFormat="1" ht="21" customHeight="1">
      <c r="A101" s="66" t="s">
        <v>78</v>
      </c>
      <c r="B101" s="67" t="s">
        <v>9</v>
      </c>
      <c r="C101" s="116"/>
      <c r="D101" s="70">
        <v>111</v>
      </c>
      <c r="E101" s="85" t="s">
        <v>101</v>
      </c>
      <c r="F101" s="69"/>
      <c r="G101" s="113"/>
      <c r="H101" s="106"/>
      <c r="I101" s="69">
        <v>16000</v>
      </c>
      <c r="J101" s="68">
        <f>D101*I101</f>
        <v>1776000</v>
      </c>
      <c r="K101" s="47">
        <f>J101*L98</f>
        <v>29304000</v>
      </c>
    </row>
    <row r="102" spans="1:11" s="9" customFormat="1" ht="30" customHeight="1">
      <c r="A102" s="79" t="s">
        <v>79</v>
      </c>
      <c r="B102" s="67" t="s">
        <v>66</v>
      </c>
      <c r="C102" s="116"/>
      <c r="D102" s="70">
        <v>1222</v>
      </c>
      <c r="E102" s="85" t="s">
        <v>100</v>
      </c>
      <c r="F102" s="71"/>
      <c r="G102" s="114"/>
      <c r="H102" s="107"/>
      <c r="I102" s="81">
        <v>200</v>
      </c>
      <c r="J102" s="68">
        <f>D102*I102</f>
        <v>244400</v>
      </c>
      <c r="K102" s="47">
        <f>J102*L98</f>
        <v>4032600</v>
      </c>
    </row>
    <row r="103" spans="1:11" ht="15.75" customHeight="1">
      <c r="A103" s="60">
        <v>2</v>
      </c>
      <c r="B103" s="61" t="s">
        <v>12</v>
      </c>
      <c r="C103" s="119"/>
      <c r="D103" s="86"/>
      <c r="E103" s="156"/>
      <c r="F103" s="64"/>
      <c r="G103" s="112"/>
      <c r="H103" s="105"/>
      <c r="I103" s="62"/>
      <c r="J103" s="65">
        <f>SUM(J104:J111)</f>
        <v>14381966.346870966</v>
      </c>
      <c r="K103" s="46">
        <f>SUM(K104:K111)</f>
        <v>237302444.72337094</v>
      </c>
    </row>
    <row r="104" spans="1:11" ht="15.75" customHeight="1">
      <c r="A104" s="66" t="s">
        <v>78</v>
      </c>
      <c r="B104" s="67" t="s">
        <v>40</v>
      </c>
      <c r="C104" s="116" t="s">
        <v>107</v>
      </c>
      <c r="D104" s="70">
        <v>8333</v>
      </c>
      <c r="E104" s="85" t="s">
        <v>123</v>
      </c>
      <c r="F104" s="97">
        <f>ROUND(182*0.92,0)</f>
        <v>167</v>
      </c>
      <c r="G104" s="155" t="s">
        <v>122</v>
      </c>
      <c r="H104" s="101">
        <f>D104/F104</f>
        <v>49.89820359281437</v>
      </c>
      <c r="I104" s="69">
        <f aca="true" t="shared" si="6" ref="I104:I111">1050000*(2.56+0.5)/26</f>
        <v>123576.92307692308</v>
      </c>
      <c r="J104" s="68">
        <f>H104*I104</f>
        <v>6166266.467065868</v>
      </c>
      <c r="K104" s="47">
        <f>J104*L98</f>
        <v>101743396.70658682</v>
      </c>
    </row>
    <row r="105" spans="1:11" ht="15.75" customHeight="1">
      <c r="A105" s="66" t="s">
        <v>79</v>
      </c>
      <c r="B105" s="67" t="s">
        <v>136</v>
      </c>
      <c r="C105" s="116" t="s">
        <v>108</v>
      </c>
      <c r="D105" s="70">
        <v>1111</v>
      </c>
      <c r="E105" s="85" t="s">
        <v>121</v>
      </c>
      <c r="F105" s="97">
        <f>ROUND(138*0.92,0)</f>
        <v>127</v>
      </c>
      <c r="G105" s="155" t="s">
        <v>118</v>
      </c>
      <c r="H105" s="101">
        <f aca="true" t="shared" si="7" ref="H105:H110">D105/F105</f>
        <v>8.748031496062993</v>
      </c>
      <c r="I105" s="69">
        <f t="shared" si="6"/>
        <v>123576.92307692308</v>
      </c>
      <c r="J105" s="68">
        <f aca="true" t="shared" si="8" ref="J105:J111">H105*I105</f>
        <v>1081054.8152634767</v>
      </c>
      <c r="K105" s="47">
        <f>J105*L98</f>
        <v>17837404.451847367</v>
      </c>
    </row>
    <row r="106" spans="1:11" ht="15">
      <c r="A106" s="66" t="s">
        <v>80</v>
      </c>
      <c r="B106" s="67" t="s">
        <v>26</v>
      </c>
      <c r="C106" s="116" t="s">
        <v>109</v>
      </c>
      <c r="D106" s="70">
        <v>1111</v>
      </c>
      <c r="E106" s="85" t="s">
        <v>104</v>
      </c>
      <c r="F106" s="97">
        <f>ROUND(65*0.92,0)</f>
        <v>60</v>
      </c>
      <c r="G106" s="155" t="s">
        <v>119</v>
      </c>
      <c r="H106" s="101">
        <f t="shared" si="7"/>
        <v>18.516666666666666</v>
      </c>
      <c r="I106" s="69">
        <f t="shared" si="6"/>
        <v>123576.92307692308</v>
      </c>
      <c r="J106" s="68">
        <f t="shared" si="8"/>
        <v>2288232.692307692</v>
      </c>
      <c r="K106" s="47">
        <f>J106*L98</f>
        <v>37755839.42307692</v>
      </c>
    </row>
    <row r="107" spans="1:11" ht="15">
      <c r="A107" s="66" t="s">
        <v>81</v>
      </c>
      <c r="B107" s="67" t="s">
        <v>27</v>
      </c>
      <c r="C107" s="116" t="s">
        <v>110</v>
      </c>
      <c r="D107" s="70">
        <v>1111</v>
      </c>
      <c r="E107" s="85" t="s">
        <v>104</v>
      </c>
      <c r="F107" s="97">
        <f>ROUND(191*0.92,0)</f>
        <v>176</v>
      </c>
      <c r="G107" s="155" t="s">
        <v>119</v>
      </c>
      <c r="H107" s="101">
        <f t="shared" si="7"/>
        <v>6.3125</v>
      </c>
      <c r="I107" s="69">
        <f t="shared" si="6"/>
        <v>123576.92307692308</v>
      </c>
      <c r="J107" s="68">
        <f t="shared" si="8"/>
        <v>780079.3269230769</v>
      </c>
      <c r="K107" s="47">
        <f>J107*L98</f>
        <v>12871308.894230768</v>
      </c>
    </row>
    <row r="108" spans="1:11" ht="15">
      <c r="A108" s="66" t="s">
        <v>82</v>
      </c>
      <c r="B108" s="67" t="s">
        <v>138</v>
      </c>
      <c r="C108" s="116" t="s">
        <v>112</v>
      </c>
      <c r="D108" s="70">
        <v>1111</v>
      </c>
      <c r="E108" s="85" t="s">
        <v>100</v>
      </c>
      <c r="F108" s="97">
        <f>ROUND(147*0.92,0)</f>
        <v>135</v>
      </c>
      <c r="G108" s="155" t="s">
        <v>120</v>
      </c>
      <c r="H108" s="108">
        <f t="shared" si="7"/>
        <v>8.22962962962963</v>
      </c>
      <c r="I108" s="81">
        <f t="shared" si="6"/>
        <v>123576.92307692308</v>
      </c>
      <c r="J108" s="68">
        <f t="shared" si="8"/>
        <v>1016992.3076923076</v>
      </c>
      <c r="K108" s="47">
        <f>J108*L98</f>
        <v>16780373.076923076</v>
      </c>
    </row>
    <row r="109" spans="1:11" ht="15.75" customHeight="1">
      <c r="A109" s="66" t="s">
        <v>83</v>
      </c>
      <c r="B109" s="67" t="s">
        <v>139</v>
      </c>
      <c r="C109" s="116" t="s">
        <v>111</v>
      </c>
      <c r="D109" s="70">
        <v>1111</v>
      </c>
      <c r="E109" s="85" t="s">
        <v>104</v>
      </c>
      <c r="F109" s="97">
        <f>ROUND(79*0.92,0)</f>
        <v>73</v>
      </c>
      <c r="G109" s="155" t="s">
        <v>119</v>
      </c>
      <c r="H109" s="108">
        <f t="shared" si="7"/>
        <v>15.219178082191782</v>
      </c>
      <c r="I109" s="81">
        <f t="shared" si="6"/>
        <v>123576.92307692308</v>
      </c>
      <c r="J109" s="68">
        <f t="shared" si="8"/>
        <v>1880739.1991570075</v>
      </c>
      <c r="K109" s="47">
        <f>J109*L98</f>
        <v>31032196.786090624</v>
      </c>
    </row>
    <row r="110" spans="1:11" ht="15">
      <c r="A110" s="66" t="s">
        <v>84</v>
      </c>
      <c r="B110" s="67" t="s">
        <v>140</v>
      </c>
      <c r="C110" s="116" t="s">
        <v>113</v>
      </c>
      <c r="D110" s="70">
        <v>111</v>
      </c>
      <c r="E110" s="85" t="s">
        <v>104</v>
      </c>
      <c r="F110" s="97">
        <f>ROUND(55*0.92,0)</f>
        <v>51</v>
      </c>
      <c r="G110" s="155" t="s">
        <v>119</v>
      </c>
      <c r="H110" s="108">
        <f t="shared" si="7"/>
        <v>2.176470588235294</v>
      </c>
      <c r="I110" s="81">
        <f t="shared" si="6"/>
        <v>123576.92307692308</v>
      </c>
      <c r="J110" s="68">
        <f t="shared" si="8"/>
        <v>268961.53846153844</v>
      </c>
      <c r="K110" s="47">
        <f>J110*L98</f>
        <v>4437865.384615384</v>
      </c>
    </row>
    <row r="111" spans="1:11" ht="15">
      <c r="A111" s="66" t="s">
        <v>85</v>
      </c>
      <c r="B111" s="67" t="s">
        <v>33</v>
      </c>
      <c r="C111" s="116"/>
      <c r="D111" s="70"/>
      <c r="E111" s="85"/>
      <c r="F111" s="99">
        <v>7.28</v>
      </c>
      <c r="G111" s="99"/>
      <c r="H111" s="99">
        <v>7.28</v>
      </c>
      <c r="I111" s="81">
        <f t="shared" si="6"/>
        <v>123576.92307692308</v>
      </c>
      <c r="J111" s="68">
        <f t="shared" si="8"/>
        <v>899640</v>
      </c>
      <c r="K111" s="47">
        <f>J111*L98</f>
        <v>14844060</v>
      </c>
    </row>
    <row r="112" spans="1:11" ht="15">
      <c r="A112" s="54" t="s">
        <v>4</v>
      </c>
      <c r="B112" s="55" t="s">
        <v>55</v>
      </c>
      <c r="C112" s="118"/>
      <c r="D112" s="87"/>
      <c r="E112" s="157"/>
      <c r="F112" s="100"/>
      <c r="G112" s="100"/>
      <c r="H112" s="105"/>
      <c r="I112" s="56"/>
      <c r="J112" s="59">
        <f>J113+J117</f>
        <v>6447892.578379795</v>
      </c>
      <c r="K112" s="45">
        <f>K113+K117</f>
        <v>106390227.5432666</v>
      </c>
    </row>
    <row r="113" spans="1:11" ht="15">
      <c r="A113" s="60">
        <v>1</v>
      </c>
      <c r="B113" s="61" t="s">
        <v>13</v>
      </c>
      <c r="C113" s="119"/>
      <c r="D113" s="86"/>
      <c r="E113" s="156"/>
      <c r="F113" s="100"/>
      <c r="G113" s="100"/>
      <c r="H113" s="105"/>
      <c r="I113" s="62"/>
      <c r="J113" s="65">
        <f>SUM(J114:J116)</f>
        <v>453500</v>
      </c>
      <c r="K113" s="46">
        <f>SUM(K114:K116)</f>
        <v>7482750</v>
      </c>
    </row>
    <row r="114" spans="1:11" ht="15">
      <c r="A114" s="66" t="s">
        <v>77</v>
      </c>
      <c r="B114" s="67" t="s">
        <v>14</v>
      </c>
      <c r="C114" s="116"/>
      <c r="D114" s="70">
        <v>111</v>
      </c>
      <c r="E114" s="85" t="s">
        <v>100</v>
      </c>
      <c r="F114" s="101"/>
      <c r="G114" s="101"/>
      <c r="H114" s="106"/>
      <c r="I114" s="69">
        <f>2000*1.15</f>
        <v>2300</v>
      </c>
      <c r="J114" s="68">
        <f>D114*I114</f>
        <v>255300</v>
      </c>
      <c r="K114" s="47">
        <f>J114*L98</f>
        <v>4212450</v>
      </c>
    </row>
    <row r="115" spans="1:11" ht="15">
      <c r="A115" s="66" t="s">
        <v>78</v>
      </c>
      <c r="B115" s="67" t="s">
        <v>9</v>
      </c>
      <c r="C115" s="116"/>
      <c r="D115" s="70">
        <v>11</v>
      </c>
      <c r="E115" s="85" t="s">
        <v>101</v>
      </c>
      <c r="F115" s="101"/>
      <c r="G115" s="101"/>
      <c r="H115" s="106"/>
      <c r="I115" s="69">
        <v>16000</v>
      </c>
      <c r="J115" s="68">
        <f>D115*I115</f>
        <v>176000</v>
      </c>
      <c r="K115" s="47">
        <f>J115*L98</f>
        <v>2904000</v>
      </c>
    </row>
    <row r="116" spans="1:11" ht="36" customHeight="1">
      <c r="A116" s="79" t="s">
        <v>79</v>
      </c>
      <c r="B116" s="89" t="s">
        <v>86</v>
      </c>
      <c r="C116" s="116"/>
      <c r="D116" s="70">
        <v>111</v>
      </c>
      <c r="E116" s="85" t="s">
        <v>100</v>
      </c>
      <c r="F116" s="101"/>
      <c r="G116" s="101"/>
      <c r="H116" s="106"/>
      <c r="I116" s="68">
        <v>200</v>
      </c>
      <c r="J116" s="68">
        <f>D116*I116</f>
        <v>22200</v>
      </c>
      <c r="K116" s="47">
        <f>J116*L98</f>
        <v>366300</v>
      </c>
    </row>
    <row r="117" spans="1:11" ht="15">
      <c r="A117" s="60">
        <v>2</v>
      </c>
      <c r="B117" s="61" t="s">
        <v>15</v>
      </c>
      <c r="C117" s="119"/>
      <c r="D117" s="86"/>
      <c r="E117" s="156"/>
      <c r="F117" s="100"/>
      <c r="G117" s="100"/>
      <c r="H117" s="105"/>
      <c r="I117" s="62"/>
      <c r="J117" s="65">
        <f>SUM(J118:J125)</f>
        <v>5994392.578379795</v>
      </c>
      <c r="K117" s="46">
        <f>SUM(K118:K125)</f>
        <v>98907477.5432666</v>
      </c>
    </row>
    <row r="118" spans="1:11" ht="18">
      <c r="A118" s="79" t="s">
        <v>77</v>
      </c>
      <c r="B118" s="67" t="s">
        <v>141</v>
      </c>
      <c r="C118" s="116" t="s">
        <v>114</v>
      </c>
      <c r="D118" s="70">
        <v>8333</v>
      </c>
      <c r="E118" s="85" t="s">
        <v>123</v>
      </c>
      <c r="F118" s="97">
        <f>ROUND(557*0.92,0)</f>
        <v>512</v>
      </c>
      <c r="G118" s="155" t="s">
        <v>122</v>
      </c>
      <c r="H118" s="108">
        <f aca="true" t="shared" si="9" ref="H118:H124">D118/F118</f>
        <v>16.275390625</v>
      </c>
      <c r="I118" s="81">
        <f aca="true" t="shared" si="10" ref="I118:I125">1050000*(2.56+0.5)/26</f>
        <v>123576.92307692308</v>
      </c>
      <c r="J118" s="68">
        <f aca="true" t="shared" si="11" ref="J118:J124">H118*I118</f>
        <v>2011262.6953125</v>
      </c>
      <c r="K118" s="47">
        <f>J118*L98</f>
        <v>33185834.47265625</v>
      </c>
    </row>
    <row r="119" spans="1:11" ht="18">
      <c r="A119" s="79" t="s">
        <v>78</v>
      </c>
      <c r="B119" s="67" t="s">
        <v>142</v>
      </c>
      <c r="C119" s="116" t="s">
        <v>115</v>
      </c>
      <c r="D119" s="70">
        <v>8333</v>
      </c>
      <c r="E119" s="85" t="s">
        <v>123</v>
      </c>
      <c r="F119" s="97">
        <f>ROUND(845*0.92,0)</f>
        <v>777</v>
      </c>
      <c r="G119" s="155" t="s">
        <v>122</v>
      </c>
      <c r="H119" s="108">
        <f t="shared" si="9"/>
        <v>10.724581724581725</v>
      </c>
      <c r="I119" s="81">
        <f t="shared" si="10"/>
        <v>123576.92307692308</v>
      </c>
      <c r="J119" s="68">
        <f t="shared" si="11"/>
        <v>1325310.810810811</v>
      </c>
      <c r="K119" s="47">
        <f>J119*L98</f>
        <v>21867628.37837838</v>
      </c>
    </row>
    <row r="120" spans="1:11" ht="15">
      <c r="A120" s="79" t="s">
        <v>79</v>
      </c>
      <c r="B120" s="67" t="s">
        <v>143</v>
      </c>
      <c r="C120" s="116" t="s">
        <v>108</v>
      </c>
      <c r="D120" s="70">
        <v>1111</v>
      </c>
      <c r="E120" s="85" t="s">
        <v>121</v>
      </c>
      <c r="F120" s="97">
        <f>ROUND(138*0.92,0)</f>
        <v>127</v>
      </c>
      <c r="G120" s="155" t="s">
        <v>118</v>
      </c>
      <c r="H120" s="108">
        <f t="shared" si="9"/>
        <v>8.748031496062993</v>
      </c>
      <c r="I120" s="81">
        <f>1050000*(2.56+0.5)/26</f>
        <v>123576.92307692308</v>
      </c>
      <c r="J120" s="68">
        <f t="shared" si="11"/>
        <v>1081054.8152634767</v>
      </c>
      <c r="K120" s="47">
        <f>J120*L98</f>
        <v>17837404.451847367</v>
      </c>
    </row>
    <row r="121" spans="1:11" ht="15">
      <c r="A121" s="79" t="s">
        <v>80</v>
      </c>
      <c r="B121" s="67" t="s">
        <v>26</v>
      </c>
      <c r="C121" s="116" t="s">
        <v>109</v>
      </c>
      <c r="D121" s="70">
        <v>111</v>
      </c>
      <c r="E121" s="85" t="s">
        <v>104</v>
      </c>
      <c r="F121" s="97">
        <f>ROUND(65*0.92,0)</f>
        <v>60</v>
      </c>
      <c r="G121" s="155" t="s">
        <v>119</v>
      </c>
      <c r="H121" s="108">
        <f t="shared" si="9"/>
        <v>1.85</v>
      </c>
      <c r="I121" s="81">
        <f t="shared" si="10"/>
        <v>123576.92307692308</v>
      </c>
      <c r="J121" s="68">
        <f t="shared" si="11"/>
        <v>228617.30769230772</v>
      </c>
      <c r="K121" s="47">
        <f>J121*L98</f>
        <v>3772185.5769230775</v>
      </c>
    </row>
    <row r="122" spans="1:11" ht="15.75" customHeight="1">
      <c r="A122" s="79" t="s">
        <v>81</v>
      </c>
      <c r="B122" s="67" t="s">
        <v>27</v>
      </c>
      <c r="C122" s="116" t="s">
        <v>110</v>
      </c>
      <c r="D122" s="97">
        <v>111</v>
      </c>
      <c r="E122" s="155" t="s">
        <v>104</v>
      </c>
      <c r="F122" s="97">
        <f>ROUND(191*0.92,0)</f>
        <v>176</v>
      </c>
      <c r="G122" s="155" t="s">
        <v>119</v>
      </c>
      <c r="H122" s="102">
        <f t="shared" si="9"/>
        <v>0.6306818181818182</v>
      </c>
      <c r="I122" s="81">
        <f t="shared" si="10"/>
        <v>123576.92307692308</v>
      </c>
      <c r="J122" s="68">
        <f t="shared" si="11"/>
        <v>77937.71853146853</v>
      </c>
      <c r="K122" s="47">
        <f>J122*L98</f>
        <v>1285972.3557692308</v>
      </c>
    </row>
    <row r="123" spans="1:11" ht="15.75" customHeight="1">
      <c r="A123" s="79" t="s">
        <v>82</v>
      </c>
      <c r="B123" s="67" t="s">
        <v>144</v>
      </c>
      <c r="C123" s="116" t="s">
        <v>112</v>
      </c>
      <c r="D123" s="70">
        <v>111</v>
      </c>
      <c r="E123" s="85" t="s">
        <v>100</v>
      </c>
      <c r="F123" s="97">
        <f>ROUND(147*0.92,0)</f>
        <v>135</v>
      </c>
      <c r="G123" s="155" t="s">
        <v>120</v>
      </c>
      <c r="H123" s="108">
        <f t="shared" si="9"/>
        <v>0.8222222222222222</v>
      </c>
      <c r="I123" s="81">
        <f t="shared" si="10"/>
        <v>123576.92307692308</v>
      </c>
      <c r="J123" s="68">
        <f t="shared" si="11"/>
        <v>101607.6923076923</v>
      </c>
      <c r="K123" s="47">
        <f>J123*L98</f>
        <v>1676526.923076923</v>
      </c>
    </row>
    <row r="124" spans="1:11" ht="15.75" customHeight="1">
      <c r="A124" s="79" t="s">
        <v>83</v>
      </c>
      <c r="B124" s="67" t="s">
        <v>145</v>
      </c>
      <c r="C124" s="116" t="s">
        <v>113</v>
      </c>
      <c r="D124" s="70">
        <v>111</v>
      </c>
      <c r="E124" s="85" t="s">
        <v>100</v>
      </c>
      <c r="F124" s="97">
        <f>ROUND(55*0.92,0)</f>
        <v>51</v>
      </c>
      <c r="G124" s="155" t="s">
        <v>120</v>
      </c>
      <c r="H124" s="108">
        <f t="shared" si="9"/>
        <v>2.176470588235294</v>
      </c>
      <c r="I124" s="81">
        <f t="shared" si="10"/>
        <v>123576.92307692308</v>
      </c>
      <c r="J124" s="68">
        <f t="shared" si="11"/>
        <v>268961.53846153844</v>
      </c>
      <c r="K124" s="47">
        <f>J124*L98</f>
        <v>4437865.384615384</v>
      </c>
    </row>
    <row r="125" spans="1:11" ht="15">
      <c r="A125" s="79" t="s">
        <v>84</v>
      </c>
      <c r="B125" s="67" t="s">
        <v>33</v>
      </c>
      <c r="C125" s="116"/>
      <c r="D125" s="70"/>
      <c r="E125" s="85"/>
      <c r="F125" s="99">
        <v>7.28</v>
      </c>
      <c r="G125" s="158" t="str">
        <f>G132</f>
        <v>công/ha</v>
      </c>
      <c r="H125" s="99">
        <v>7.28</v>
      </c>
      <c r="I125" s="81">
        <f t="shared" si="10"/>
        <v>123576.92307692308</v>
      </c>
      <c r="J125" s="68">
        <f>F125*I125</f>
        <v>899640</v>
      </c>
      <c r="K125" s="47">
        <f>J125*L98</f>
        <v>14844060</v>
      </c>
    </row>
    <row r="126" spans="1:11" ht="15">
      <c r="A126" s="54" t="s">
        <v>16</v>
      </c>
      <c r="B126" s="55" t="s">
        <v>56</v>
      </c>
      <c r="C126" s="118"/>
      <c r="D126" s="87"/>
      <c r="E126" s="157"/>
      <c r="F126" s="100"/>
      <c r="G126" s="100"/>
      <c r="H126" s="105"/>
      <c r="I126" s="56"/>
      <c r="J126" s="59">
        <f>J127+J128</f>
        <v>5317268.321386788</v>
      </c>
      <c r="K126" s="45">
        <f>K127+K128</f>
        <v>87734927.30288199</v>
      </c>
    </row>
    <row r="127" spans="1:11" ht="15">
      <c r="A127" s="60">
        <v>1</v>
      </c>
      <c r="B127" s="61" t="s">
        <v>13</v>
      </c>
      <c r="C127" s="119"/>
      <c r="D127" s="86"/>
      <c r="E127" s="156"/>
      <c r="F127" s="100"/>
      <c r="G127" s="100"/>
      <c r="H127" s="105"/>
      <c r="I127" s="62"/>
      <c r="J127" s="65"/>
      <c r="K127" s="46"/>
    </row>
    <row r="128" spans="1:11" ht="15">
      <c r="A128" s="60">
        <v>2</v>
      </c>
      <c r="B128" s="61" t="s">
        <v>15</v>
      </c>
      <c r="C128" s="119"/>
      <c r="D128" s="86"/>
      <c r="E128" s="156"/>
      <c r="F128" s="100"/>
      <c r="G128" s="100"/>
      <c r="H128" s="105"/>
      <c r="I128" s="62"/>
      <c r="J128" s="65">
        <f>SUM(J129:J132)</f>
        <v>5317268.321386788</v>
      </c>
      <c r="K128" s="46">
        <f>SUM(K129:K132)</f>
        <v>87734927.30288199</v>
      </c>
    </row>
    <row r="129" spans="1:11" ht="18">
      <c r="A129" s="66" t="s">
        <v>77</v>
      </c>
      <c r="B129" s="67" t="s">
        <v>141</v>
      </c>
      <c r="C129" s="116" t="s">
        <v>114</v>
      </c>
      <c r="D129" s="70">
        <v>8333</v>
      </c>
      <c r="E129" s="85" t="s">
        <v>123</v>
      </c>
      <c r="F129" s="97">
        <f>ROUND(557*0.92,0)</f>
        <v>512</v>
      </c>
      <c r="G129" s="155" t="s">
        <v>122</v>
      </c>
      <c r="H129" s="108">
        <f>D129/F129</f>
        <v>16.275390625</v>
      </c>
      <c r="I129" s="81">
        <f>1050000*(2.56+0.5)/26</f>
        <v>123576.92307692308</v>
      </c>
      <c r="J129" s="68">
        <f>H129*I129</f>
        <v>2011262.6953125</v>
      </c>
      <c r="K129" s="47">
        <f>J129*L98</f>
        <v>33185834.47265625</v>
      </c>
    </row>
    <row r="130" spans="1:11" ht="18">
      <c r="A130" s="66" t="s">
        <v>78</v>
      </c>
      <c r="B130" s="67" t="s">
        <v>146</v>
      </c>
      <c r="C130" s="116" t="s">
        <v>115</v>
      </c>
      <c r="D130" s="70">
        <v>8333</v>
      </c>
      <c r="E130" s="85" t="s">
        <v>123</v>
      </c>
      <c r="F130" s="97">
        <f>ROUND(845*0.92,0)</f>
        <v>777</v>
      </c>
      <c r="G130" s="155" t="s">
        <v>122</v>
      </c>
      <c r="H130" s="108">
        <f>D130/F130</f>
        <v>10.724581724581725</v>
      </c>
      <c r="I130" s="81">
        <f>1050000*(2.56+0.5)/26</f>
        <v>123576.92307692308</v>
      </c>
      <c r="J130" s="68">
        <f>H130*I130</f>
        <v>1325310.810810811</v>
      </c>
      <c r="K130" s="47">
        <f>J130*L98</f>
        <v>21867628.37837838</v>
      </c>
    </row>
    <row r="131" spans="1:11" ht="15">
      <c r="A131" s="66" t="s">
        <v>79</v>
      </c>
      <c r="B131" s="67" t="s">
        <v>147</v>
      </c>
      <c r="C131" s="116" t="s">
        <v>108</v>
      </c>
      <c r="D131" s="70">
        <v>1111</v>
      </c>
      <c r="E131" s="85" t="s">
        <v>121</v>
      </c>
      <c r="F131" s="97">
        <f>ROUND(138*0.92,0)</f>
        <v>127</v>
      </c>
      <c r="G131" s="155" t="s">
        <v>118</v>
      </c>
      <c r="H131" s="108">
        <f>D131/F131</f>
        <v>8.748031496062993</v>
      </c>
      <c r="I131" s="81">
        <f>1050000*(2.56+0.5)/26</f>
        <v>123576.92307692308</v>
      </c>
      <c r="J131" s="68">
        <f>H131*I131</f>
        <v>1081054.8152634767</v>
      </c>
      <c r="K131" s="47">
        <f>J131*L98</f>
        <v>17837404.451847367</v>
      </c>
    </row>
    <row r="132" spans="1:11" ht="15">
      <c r="A132" s="66" t="s">
        <v>80</v>
      </c>
      <c r="B132" s="67" t="s">
        <v>33</v>
      </c>
      <c r="C132" s="116"/>
      <c r="D132" s="70"/>
      <c r="E132" s="85"/>
      <c r="F132" s="99">
        <v>7.28</v>
      </c>
      <c r="G132" s="158" t="str">
        <f>G139</f>
        <v>công/ha</v>
      </c>
      <c r="H132" s="102">
        <v>7.28</v>
      </c>
      <c r="I132" s="81">
        <f>1050000*(2.56+0.5)/26</f>
        <v>123576.92307692308</v>
      </c>
      <c r="J132" s="68">
        <f>H132*I132</f>
        <v>899640</v>
      </c>
      <c r="K132" s="47">
        <f>J132*L98</f>
        <v>14844060</v>
      </c>
    </row>
    <row r="133" spans="1:11" ht="15">
      <c r="A133" s="54" t="s">
        <v>17</v>
      </c>
      <c r="B133" s="55" t="s">
        <v>57</v>
      </c>
      <c r="C133" s="118"/>
      <c r="D133" s="87"/>
      <c r="E133" s="157"/>
      <c r="F133" s="100"/>
      <c r="G133" s="100"/>
      <c r="H133" s="105"/>
      <c r="I133" s="56"/>
      <c r="J133" s="59">
        <f>J134+J135</f>
        <v>5126075.736777836</v>
      </c>
      <c r="K133" s="45">
        <f>K134+K135</f>
        <v>84580249.6568343</v>
      </c>
    </row>
    <row r="134" spans="1:11" ht="15">
      <c r="A134" s="60">
        <v>1</v>
      </c>
      <c r="B134" s="61" t="s">
        <v>13</v>
      </c>
      <c r="C134" s="119"/>
      <c r="D134" s="86"/>
      <c r="E134" s="156"/>
      <c r="F134" s="100"/>
      <c r="G134" s="100"/>
      <c r="H134" s="105"/>
      <c r="I134" s="62"/>
      <c r="J134" s="65"/>
      <c r="K134" s="46"/>
    </row>
    <row r="135" spans="1:11" ht="15">
      <c r="A135" s="60">
        <v>2</v>
      </c>
      <c r="B135" s="61" t="s">
        <v>15</v>
      </c>
      <c r="C135" s="119"/>
      <c r="D135" s="86"/>
      <c r="E135" s="156"/>
      <c r="F135" s="100"/>
      <c r="G135" s="100"/>
      <c r="H135" s="105"/>
      <c r="I135" s="62"/>
      <c r="J135" s="65">
        <f>SUM(J136:J139)</f>
        <v>5126075.736777836</v>
      </c>
      <c r="K135" s="46">
        <f>SUM(K136:K139)</f>
        <v>84580249.6568343</v>
      </c>
    </row>
    <row r="136" spans="1:11" ht="30.75">
      <c r="A136" s="66" t="s">
        <v>77</v>
      </c>
      <c r="B136" s="67" t="s">
        <v>36</v>
      </c>
      <c r="C136" s="116" t="s">
        <v>116</v>
      </c>
      <c r="D136" s="70">
        <v>8333</v>
      </c>
      <c r="E136" s="85" t="s">
        <v>123</v>
      </c>
      <c r="F136" s="97">
        <f>ROUND(699*0.92,0)</f>
        <v>643</v>
      </c>
      <c r="G136" s="155" t="s">
        <v>122</v>
      </c>
      <c r="H136" s="108">
        <f>D136/F136</f>
        <v>12.959564541213064</v>
      </c>
      <c r="I136" s="81">
        <f>1050000*(2.56+0.5)/26</f>
        <v>123576.92307692308</v>
      </c>
      <c r="J136" s="68">
        <f>H136*I136</f>
        <v>1601503.1104199067</v>
      </c>
      <c r="K136" s="47">
        <f>J136*L98</f>
        <v>26424801.32192846</v>
      </c>
    </row>
    <row r="137" spans="1:11" ht="30.75">
      <c r="A137" s="66" t="s">
        <v>78</v>
      </c>
      <c r="B137" s="67" t="s">
        <v>37</v>
      </c>
      <c r="C137" s="116" t="s">
        <v>117</v>
      </c>
      <c r="D137" s="70">
        <v>8333</v>
      </c>
      <c r="E137" s="85" t="s">
        <v>123</v>
      </c>
      <c r="F137" s="97">
        <f>ROUND(725*0.92,0)</f>
        <v>667</v>
      </c>
      <c r="G137" s="155" t="s">
        <v>122</v>
      </c>
      <c r="H137" s="108">
        <f>D137/F137</f>
        <v>12.493253373313344</v>
      </c>
      <c r="I137" s="81">
        <f>1050000*(2.56+0.5)/26</f>
        <v>123576.92307692308</v>
      </c>
      <c r="J137" s="68">
        <f>H137*I137</f>
        <v>1543877.8110944529</v>
      </c>
      <c r="K137" s="47">
        <f>J137*L98</f>
        <v>25473983.883058473</v>
      </c>
    </row>
    <row r="138" spans="1:11" ht="30.75">
      <c r="A138" s="66" t="s">
        <v>79</v>
      </c>
      <c r="B138" s="67" t="s">
        <v>35</v>
      </c>
      <c r="C138" s="116" t="s">
        <v>108</v>
      </c>
      <c r="D138" s="70">
        <v>1111</v>
      </c>
      <c r="E138" s="85" t="s">
        <v>121</v>
      </c>
      <c r="F138" s="97">
        <f>ROUND(138*0.92,0)</f>
        <v>127</v>
      </c>
      <c r="G138" s="155" t="s">
        <v>118</v>
      </c>
      <c r="H138" s="108">
        <f>D138/F138</f>
        <v>8.748031496062993</v>
      </c>
      <c r="I138" s="81">
        <f>1050000*(2.56+0.5)/26</f>
        <v>123576.92307692308</v>
      </c>
      <c r="J138" s="68">
        <f>H138*I138</f>
        <v>1081054.8152634767</v>
      </c>
      <c r="K138" s="47">
        <f>J138*L98</f>
        <v>17837404.451847367</v>
      </c>
    </row>
    <row r="139" spans="1:11" ht="15">
      <c r="A139" s="66" t="s">
        <v>80</v>
      </c>
      <c r="B139" s="67" t="s">
        <v>33</v>
      </c>
      <c r="C139" s="116"/>
      <c r="D139" s="70"/>
      <c r="E139" s="85"/>
      <c r="F139" s="99">
        <v>7.28</v>
      </c>
      <c r="G139" s="158" t="s">
        <v>137</v>
      </c>
      <c r="H139" s="102">
        <v>7.28</v>
      </c>
      <c r="I139" s="81">
        <f>1050000*(2.56+0.5)/26</f>
        <v>123576.92307692308</v>
      </c>
      <c r="J139" s="68">
        <f>H139*I139</f>
        <v>899640</v>
      </c>
      <c r="K139" s="47">
        <f>J139*L98</f>
        <v>14844060</v>
      </c>
    </row>
    <row r="140" spans="1:11" ht="15">
      <c r="A140" s="54" t="s">
        <v>18</v>
      </c>
      <c r="B140" s="55" t="s">
        <v>58</v>
      </c>
      <c r="C140" s="118"/>
      <c r="D140" s="87"/>
      <c r="E140" s="157"/>
      <c r="F140" s="100"/>
      <c r="G140" s="100"/>
      <c r="H140" s="105"/>
      <c r="I140" s="56"/>
      <c r="J140" s="59">
        <f>J141+J142</f>
        <v>3524572.62635793</v>
      </c>
      <c r="K140" s="45">
        <f>K141+K142</f>
        <v>58155448.33490584</v>
      </c>
    </row>
    <row r="141" spans="1:11" ht="15">
      <c r="A141" s="60">
        <v>1</v>
      </c>
      <c r="B141" s="61" t="s">
        <v>13</v>
      </c>
      <c r="C141" s="119"/>
      <c r="D141" s="86"/>
      <c r="E141" s="156"/>
      <c r="F141" s="100"/>
      <c r="G141" s="100"/>
      <c r="H141" s="105"/>
      <c r="I141" s="62"/>
      <c r="J141" s="65"/>
      <c r="K141" s="46"/>
    </row>
    <row r="142" spans="1:11" ht="15">
      <c r="A142" s="60">
        <v>2</v>
      </c>
      <c r="B142" s="61" t="s">
        <v>15</v>
      </c>
      <c r="C142" s="119"/>
      <c r="D142" s="86"/>
      <c r="E142" s="156"/>
      <c r="F142" s="100"/>
      <c r="G142" s="100"/>
      <c r="H142" s="105"/>
      <c r="I142" s="62"/>
      <c r="J142" s="65">
        <f>SUM(J143:J145)</f>
        <v>3524572.62635793</v>
      </c>
      <c r="K142" s="46">
        <f>SUM(K143:K145)</f>
        <v>58155448.33490584</v>
      </c>
    </row>
    <row r="143" spans="1:11" ht="15.75" customHeight="1">
      <c r="A143" s="79" t="s">
        <v>77</v>
      </c>
      <c r="B143" s="67" t="s">
        <v>135</v>
      </c>
      <c r="C143" s="116" t="s">
        <v>117</v>
      </c>
      <c r="D143" s="70">
        <v>8333</v>
      </c>
      <c r="E143" s="85" t="s">
        <v>123</v>
      </c>
      <c r="F143" s="97">
        <f>ROUND(725*0.92,0)</f>
        <v>667</v>
      </c>
      <c r="G143" s="155" t="s">
        <v>122</v>
      </c>
      <c r="H143" s="108">
        <f>D143/F143</f>
        <v>12.493253373313344</v>
      </c>
      <c r="I143" s="81">
        <f>1050000*(2.56+0.5)/26</f>
        <v>123576.92307692308</v>
      </c>
      <c r="J143" s="68">
        <f>H143*I143</f>
        <v>1543877.8110944529</v>
      </c>
      <c r="K143" s="47">
        <f>J143*L98</f>
        <v>25473983.883058473</v>
      </c>
    </row>
    <row r="144" spans="1:11" ht="15">
      <c r="A144" s="79" t="s">
        <v>78</v>
      </c>
      <c r="B144" s="67" t="s">
        <v>129</v>
      </c>
      <c r="C144" s="116"/>
      <c r="D144" s="70">
        <v>1111</v>
      </c>
      <c r="E144" s="85" t="str">
        <f>E131</f>
        <v>gốc</v>
      </c>
      <c r="F144" s="97">
        <v>127</v>
      </c>
      <c r="G144" s="155" t="str">
        <f>G138</f>
        <v>gốc/công</v>
      </c>
      <c r="H144" s="108">
        <f>D144/F144</f>
        <v>8.748031496062993</v>
      </c>
      <c r="I144" s="81">
        <f>I143</f>
        <v>123576.92307692308</v>
      </c>
      <c r="J144" s="68">
        <f>I144*H144</f>
        <v>1081054.8152634767</v>
      </c>
      <c r="K144" s="47">
        <f>J144*L98</f>
        <v>17837404.451847367</v>
      </c>
    </row>
    <row r="145" spans="1:11" ht="15">
      <c r="A145" s="79" t="s">
        <v>79</v>
      </c>
      <c r="B145" s="67" t="s">
        <v>33</v>
      </c>
      <c r="C145" s="116"/>
      <c r="D145" s="70"/>
      <c r="E145" s="85"/>
      <c r="F145" s="99">
        <v>7.28</v>
      </c>
      <c r="G145" s="158" t="str">
        <f>G139</f>
        <v>công/ha</v>
      </c>
      <c r="H145" s="102">
        <v>7.28</v>
      </c>
      <c r="I145" s="81">
        <f>1050000*(2.56+0.5)/26</f>
        <v>123576.92307692308</v>
      </c>
      <c r="J145" s="68">
        <f>F145*I145</f>
        <v>899640</v>
      </c>
      <c r="K145" s="47">
        <f>J145*L98</f>
        <v>14844060</v>
      </c>
    </row>
    <row r="146" spans="1:11" ht="15">
      <c r="A146" s="54" t="s">
        <v>19</v>
      </c>
      <c r="B146" s="55" t="s">
        <v>59</v>
      </c>
      <c r="C146" s="118"/>
      <c r="D146" s="87"/>
      <c r="E146" s="157"/>
      <c r="F146" s="100"/>
      <c r="G146" s="159"/>
      <c r="H146" s="105"/>
      <c r="I146" s="69"/>
      <c r="J146" s="59">
        <f>SUM(J147:J147)</f>
        <v>899640</v>
      </c>
      <c r="K146" s="45">
        <f>SUM(K147:K147)</f>
        <v>14844060</v>
      </c>
    </row>
    <row r="147" spans="1:11" ht="15">
      <c r="A147" s="66" t="s">
        <v>77</v>
      </c>
      <c r="B147" s="67" t="s">
        <v>33</v>
      </c>
      <c r="C147" s="116"/>
      <c r="D147" s="70"/>
      <c r="E147" s="85"/>
      <c r="F147" s="99">
        <v>7.28</v>
      </c>
      <c r="G147" s="158" t="str">
        <f>G145</f>
        <v>công/ha</v>
      </c>
      <c r="H147" s="102">
        <v>7.28</v>
      </c>
      <c r="I147" s="81">
        <f>1050000*(2.56+0.5)/26</f>
        <v>123576.92307692308</v>
      </c>
      <c r="J147" s="68">
        <f>F147*I147</f>
        <v>899640</v>
      </c>
      <c r="K147" s="47">
        <f>J147*L98</f>
        <v>14844060</v>
      </c>
    </row>
    <row r="148" spans="1:11" ht="15">
      <c r="A148" s="54" t="s">
        <v>20</v>
      </c>
      <c r="B148" s="55" t="s">
        <v>60</v>
      </c>
      <c r="C148" s="118"/>
      <c r="D148" s="87"/>
      <c r="E148" s="157"/>
      <c r="F148" s="100"/>
      <c r="G148" s="100"/>
      <c r="H148" s="105"/>
      <c r="I148" s="56"/>
      <c r="J148" s="59">
        <f>SUM(J149:J149)</f>
        <v>899640</v>
      </c>
      <c r="K148" s="45">
        <f>SUM(K149:K149)</f>
        <v>14844060</v>
      </c>
    </row>
    <row r="149" spans="1:11" ht="15">
      <c r="A149" s="66" t="s">
        <v>77</v>
      </c>
      <c r="B149" s="67" t="s">
        <v>33</v>
      </c>
      <c r="C149" s="116"/>
      <c r="D149" s="70"/>
      <c r="E149" s="85"/>
      <c r="F149" s="99">
        <v>7.28</v>
      </c>
      <c r="G149" s="158" t="str">
        <f>G147</f>
        <v>công/ha</v>
      </c>
      <c r="H149" s="102">
        <v>7.28</v>
      </c>
      <c r="I149" s="81">
        <f>1050000*(2.56+0.5)/26</f>
        <v>123576.92307692308</v>
      </c>
      <c r="J149" s="68">
        <f>F149*I149</f>
        <v>899640</v>
      </c>
      <c r="K149" s="47">
        <f>J149*L98</f>
        <v>14844060</v>
      </c>
    </row>
    <row r="150" spans="1:11" ht="15">
      <c r="A150" s="54" t="s">
        <v>21</v>
      </c>
      <c r="B150" s="55" t="s">
        <v>61</v>
      </c>
      <c r="C150" s="118"/>
      <c r="D150" s="87"/>
      <c r="E150" s="157"/>
      <c r="F150" s="100"/>
      <c r="G150" s="159"/>
      <c r="H150" s="105"/>
      <c r="I150" s="56"/>
      <c r="J150" s="59">
        <f>SUM(J151:J151)</f>
        <v>899640</v>
      </c>
      <c r="K150" s="45">
        <f>SUM(K151:K151)</f>
        <v>14844060</v>
      </c>
    </row>
    <row r="151" spans="1:11" ht="15">
      <c r="A151" s="66" t="s">
        <v>77</v>
      </c>
      <c r="B151" s="67" t="s">
        <v>33</v>
      </c>
      <c r="C151" s="116"/>
      <c r="D151" s="70"/>
      <c r="E151" s="85"/>
      <c r="F151" s="99">
        <v>7.28</v>
      </c>
      <c r="G151" s="158" t="str">
        <f>G147</f>
        <v>công/ha</v>
      </c>
      <c r="H151" s="102">
        <v>7.28</v>
      </c>
      <c r="I151" s="81">
        <f>1050000*(2.56+0.5)/26</f>
        <v>123576.92307692308</v>
      </c>
      <c r="J151" s="68">
        <f>F151*I151</f>
        <v>899640</v>
      </c>
      <c r="K151" s="47">
        <f>J151*L98</f>
        <v>14844060</v>
      </c>
    </row>
    <row r="152" spans="1:11" ht="15">
      <c r="A152" s="54" t="s">
        <v>22</v>
      </c>
      <c r="B152" s="55" t="s">
        <v>62</v>
      </c>
      <c r="C152" s="118"/>
      <c r="D152" s="87"/>
      <c r="E152" s="157"/>
      <c r="F152" s="100"/>
      <c r="G152" s="159"/>
      <c r="H152" s="105"/>
      <c r="I152" s="56"/>
      <c r="J152" s="59">
        <f>SUM(J153:J153)</f>
        <v>899640</v>
      </c>
      <c r="K152" s="45">
        <f>SUM(K153:K153)</f>
        <v>14844060</v>
      </c>
    </row>
    <row r="153" spans="1:11" ht="15">
      <c r="A153" s="66" t="s">
        <v>77</v>
      </c>
      <c r="B153" s="67" t="s">
        <v>33</v>
      </c>
      <c r="C153" s="116"/>
      <c r="D153" s="70"/>
      <c r="E153" s="85"/>
      <c r="F153" s="99">
        <v>7.28</v>
      </c>
      <c r="G153" s="158" t="str">
        <f>G149</f>
        <v>công/ha</v>
      </c>
      <c r="H153" s="102">
        <v>7.28</v>
      </c>
      <c r="I153" s="81">
        <f>1050000*(2.56+0.5)/26</f>
        <v>123576.92307692308</v>
      </c>
      <c r="J153" s="68">
        <f>F153*I153</f>
        <v>899640</v>
      </c>
      <c r="K153" s="47">
        <f>J153*L98</f>
        <v>14844060</v>
      </c>
    </row>
    <row r="154" spans="1:11" ht="15">
      <c r="A154" s="54" t="s">
        <v>23</v>
      </c>
      <c r="B154" s="55" t="s">
        <v>63</v>
      </c>
      <c r="C154" s="118"/>
      <c r="D154" s="87"/>
      <c r="E154" s="87"/>
      <c r="F154" s="100"/>
      <c r="G154" s="159"/>
      <c r="H154" s="105"/>
      <c r="I154" s="56"/>
      <c r="J154" s="59">
        <f>SUM(J155:J155)</f>
        <v>899640</v>
      </c>
      <c r="K154" s="45">
        <f>SUM(K155:K155)</f>
        <v>14844060</v>
      </c>
    </row>
    <row r="155" spans="1:11" ht="15">
      <c r="A155" s="66" t="s">
        <v>77</v>
      </c>
      <c r="B155" s="67" t="s">
        <v>33</v>
      </c>
      <c r="C155" s="116"/>
      <c r="D155" s="70"/>
      <c r="E155" s="70"/>
      <c r="F155" s="99">
        <v>7.28</v>
      </c>
      <c r="G155" s="158" t="str">
        <f>G147</f>
        <v>công/ha</v>
      </c>
      <c r="H155" s="102">
        <v>7.28</v>
      </c>
      <c r="I155" s="81">
        <f>1050000*(2.56+0.5)/26</f>
        <v>123576.92307692308</v>
      </c>
      <c r="J155" s="68">
        <f>F155*I155</f>
        <v>899640</v>
      </c>
      <c r="K155" s="47">
        <f>J155*L98</f>
        <v>14844060</v>
      </c>
    </row>
    <row r="156" spans="1:11" ht="15.75" thickBot="1">
      <c r="A156" s="74"/>
      <c r="B156" s="75" t="s">
        <v>5</v>
      </c>
      <c r="C156" s="120"/>
      <c r="D156" s="77"/>
      <c r="E156" s="77"/>
      <c r="F156" s="78"/>
      <c r="G156" s="115"/>
      <c r="H156" s="109"/>
      <c r="I156" s="76"/>
      <c r="J156" s="48">
        <f>J98+J112+J126+J133+J140+J146+J148+J150+J152+J154</f>
        <v>44126975.609773315</v>
      </c>
      <c r="K156" s="48">
        <f>K98+K112+K126+K133+K140+K146+K148+K150+K152+K154</f>
        <v>728095097.5612597</v>
      </c>
    </row>
    <row r="157" ht="15.75" thickTop="1"/>
  </sheetData>
  <sheetProtection/>
  <mergeCells count="7">
    <mergeCell ref="A94:K94"/>
    <mergeCell ref="A95:K95"/>
    <mergeCell ref="A96:K96"/>
    <mergeCell ref="A1:B1"/>
    <mergeCell ref="A2:K2"/>
    <mergeCell ref="A4:K4"/>
    <mergeCell ref="A3:K3"/>
  </mergeCells>
  <printOptions/>
  <pageMargins left="0.7" right="0" top="0.22" bottom="0.3" header="0.18" footer="0.1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2" sqref="A2:M2"/>
    </sheetView>
  </sheetViews>
  <sheetFormatPr defaultColWidth="9.125" defaultRowHeight="15.75"/>
  <cols>
    <col min="1" max="1" width="4.00390625" style="10" customWidth="1"/>
    <col min="2" max="2" width="20.25390625" style="36" customWidth="1"/>
    <col min="3" max="3" width="9.75390625" style="10" customWidth="1"/>
    <col min="4" max="5" width="9.25390625" style="10" customWidth="1"/>
    <col min="6" max="6" width="9.375" style="10" customWidth="1"/>
    <col min="7" max="9" width="8.75390625" style="10" customWidth="1"/>
    <col min="10" max="10" width="9.125" style="10" customWidth="1"/>
    <col min="11" max="11" width="8.375" style="10" customWidth="1"/>
    <col min="12" max="12" width="8.625" style="10" customWidth="1"/>
    <col min="13" max="13" width="10.75390625" style="10" customWidth="1"/>
    <col min="14" max="14" width="15.75390625" style="11" customWidth="1"/>
    <col min="15" max="16384" width="9.125" style="11" customWidth="1"/>
  </cols>
  <sheetData>
    <row r="1" spans="1:13" s="12" customFormat="1" ht="26.25" customHeight="1">
      <c r="A1" s="164" t="s">
        <v>131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12" customFormat="1" ht="21" customHeight="1">
      <c r="A2" s="166" t="s">
        <v>150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s="15" customFormat="1" ht="21" customHeight="1">
      <c r="A3" s="13" t="s">
        <v>6</v>
      </c>
      <c r="B3" s="14" t="s">
        <v>41</v>
      </c>
      <c r="C3" s="13">
        <v>2012</v>
      </c>
      <c r="D3" s="13">
        <v>2013</v>
      </c>
      <c r="E3" s="13">
        <v>2014</v>
      </c>
      <c r="F3" s="13">
        <v>2015</v>
      </c>
      <c r="G3" s="13">
        <v>2016</v>
      </c>
      <c r="H3" s="13">
        <v>2017</v>
      </c>
      <c r="I3" s="13">
        <v>2018</v>
      </c>
      <c r="J3" s="13">
        <v>2019</v>
      </c>
      <c r="K3" s="13">
        <v>2020</v>
      </c>
      <c r="L3" s="13">
        <v>2021</v>
      </c>
      <c r="M3" s="13" t="s">
        <v>5</v>
      </c>
    </row>
    <row r="4" spans="1:13" s="12" customFormat="1" ht="21" customHeight="1">
      <c r="A4" s="16" t="s">
        <v>42</v>
      </c>
      <c r="B4" s="17" t="s">
        <v>43</v>
      </c>
      <c r="C4" s="18">
        <v>0</v>
      </c>
      <c r="D4" s="18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/>
    </row>
    <row r="5" spans="1:13" s="12" customFormat="1" ht="21" customHeight="1">
      <c r="A5" s="123"/>
      <c r="B5" s="124" t="s">
        <v>126</v>
      </c>
      <c r="C5" s="126">
        <v>0.05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s="12" customFormat="1" ht="21" customHeight="1">
      <c r="A6" s="123"/>
      <c r="B6" s="124" t="s">
        <v>127</v>
      </c>
      <c r="C6" s="126">
        <v>0.05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s="12" customFormat="1" ht="21" customHeight="1">
      <c r="A7" s="123"/>
      <c r="B7" s="124" t="s">
        <v>128</v>
      </c>
      <c r="C7" s="125">
        <f>(1+$C$6)^C4</f>
        <v>1</v>
      </c>
      <c r="D7" s="125">
        <f aca="true" t="shared" si="0" ref="D7:L7">(1+$C$6)^D4</f>
        <v>1.05</v>
      </c>
      <c r="E7" s="127">
        <f t="shared" si="0"/>
        <v>1.1025</v>
      </c>
      <c r="F7" s="127">
        <f t="shared" si="0"/>
        <v>1.1576250000000001</v>
      </c>
      <c r="G7" s="127">
        <f t="shared" si="0"/>
        <v>1.21550625</v>
      </c>
      <c r="H7" s="127">
        <f t="shared" si="0"/>
        <v>1.2762815625000001</v>
      </c>
      <c r="I7" s="127">
        <f t="shared" si="0"/>
        <v>1.340095640625</v>
      </c>
      <c r="J7" s="127">
        <f t="shared" si="0"/>
        <v>1.4071004226562502</v>
      </c>
      <c r="K7" s="127">
        <f t="shared" si="0"/>
        <v>1.4774554437890626</v>
      </c>
      <c r="L7" s="127">
        <f t="shared" si="0"/>
        <v>1.5513282159785158</v>
      </c>
      <c r="M7" s="125"/>
    </row>
    <row r="8" spans="1:13" s="22" customFormat="1" ht="21" customHeight="1">
      <c r="A8" s="19" t="s">
        <v>67</v>
      </c>
      <c r="B8" s="20" t="s">
        <v>44</v>
      </c>
      <c r="C8" s="21">
        <f>SUM(C9:C12)</f>
        <v>79711500</v>
      </c>
      <c r="D8" s="21">
        <f aca="true" t="shared" si="1" ref="D8:L8">SUM(D9:D12)</f>
        <v>7482750</v>
      </c>
      <c r="E8" s="21">
        <f t="shared" si="1"/>
        <v>0</v>
      </c>
      <c r="F8" s="21">
        <f t="shared" si="1"/>
        <v>0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>SUM(M9:M12)</f>
        <v>87194250</v>
      </c>
    </row>
    <row r="9" spans="1:13" s="12" customFormat="1" ht="21" customHeight="1">
      <c r="A9" s="23">
        <v>1</v>
      </c>
      <c r="B9" s="24" t="s">
        <v>14</v>
      </c>
      <c r="C9" s="25">
        <f>'Dự toán 1 ha trồng rừng'!K8</f>
        <v>46374900</v>
      </c>
      <c r="D9" s="25">
        <f>'Dự toán 1 ha trồng rừng'!K24</f>
        <v>4212450</v>
      </c>
      <c r="E9" s="26"/>
      <c r="F9" s="26"/>
      <c r="G9" s="26"/>
      <c r="H9" s="26"/>
      <c r="I9" s="26"/>
      <c r="J9" s="26"/>
      <c r="K9" s="26"/>
      <c r="L9" s="26"/>
      <c r="M9" s="25">
        <f>C9+D9</f>
        <v>50587350</v>
      </c>
    </row>
    <row r="10" spans="1:13" s="12" customFormat="1" ht="21" customHeight="1">
      <c r="A10" s="23">
        <v>2</v>
      </c>
      <c r="B10" s="24" t="s">
        <v>9</v>
      </c>
      <c r="C10" s="25">
        <f>'Dự toán 1 ha trồng rừng'!K9</f>
        <v>29304000</v>
      </c>
      <c r="D10" s="25">
        <f>'Dự toán 1 ha trồng rừng'!K25</f>
        <v>2904000</v>
      </c>
      <c r="E10" s="26"/>
      <c r="F10" s="26"/>
      <c r="G10" s="26"/>
      <c r="H10" s="26"/>
      <c r="I10" s="26"/>
      <c r="J10" s="26"/>
      <c r="K10" s="26"/>
      <c r="L10" s="26"/>
      <c r="M10" s="25">
        <f>C10+D10</f>
        <v>32208000</v>
      </c>
    </row>
    <row r="11" spans="1:13" s="12" customFormat="1" ht="27">
      <c r="A11" s="23">
        <v>3</v>
      </c>
      <c r="B11" s="24" t="s">
        <v>10</v>
      </c>
      <c r="C11" s="25">
        <f>'Dự toán 1 ha trồng rừng'!K10</f>
        <v>4032600</v>
      </c>
      <c r="D11" s="25">
        <f>'Dự toán 1 ha trồng rừng'!K26</f>
        <v>366300</v>
      </c>
      <c r="E11" s="26"/>
      <c r="F11" s="26"/>
      <c r="G11" s="26"/>
      <c r="H11" s="26"/>
      <c r="I11" s="26"/>
      <c r="J11" s="26"/>
      <c r="K11" s="26"/>
      <c r="L11" s="26"/>
      <c r="M11" s="25">
        <f>C11+D11</f>
        <v>4398900</v>
      </c>
    </row>
    <row r="12" spans="1:13" s="12" customFormat="1" ht="21" customHeight="1">
      <c r="A12" s="23">
        <v>4</v>
      </c>
      <c r="B12" s="24" t="s">
        <v>11</v>
      </c>
      <c r="C12" s="25">
        <f>'Dự toán 1 ha trồng rừng'!K11</f>
        <v>0</v>
      </c>
      <c r="D12" s="25">
        <f>'Dự toán 1 ha trồng rừng'!K27</f>
        <v>0</v>
      </c>
      <c r="E12" s="25">
        <f>'Dự toán 1 ha trồng rừng'!K39</f>
        <v>0</v>
      </c>
      <c r="F12" s="25">
        <f>'Dự toán 1 ha trồng rừng'!K47</f>
        <v>0</v>
      </c>
      <c r="G12" s="25">
        <f>'Dự toán 1 ha trồng rừng'!K55</f>
        <v>0</v>
      </c>
      <c r="H12" s="26"/>
      <c r="I12" s="26"/>
      <c r="J12" s="26"/>
      <c r="K12" s="26"/>
      <c r="L12" s="26"/>
      <c r="M12" s="25">
        <f>C12+D12+E12+F12+G12</f>
        <v>0</v>
      </c>
    </row>
    <row r="13" spans="1:14" s="29" customFormat="1" ht="21" customHeight="1">
      <c r="A13" s="27" t="s">
        <v>68</v>
      </c>
      <c r="B13" s="132" t="s">
        <v>65</v>
      </c>
      <c r="C13" s="21">
        <f>C14</f>
        <v>237302444.72337094</v>
      </c>
      <c r="D13" s="21">
        <f>D15</f>
        <v>98907477.5432666</v>
      </c>
      <c r="E13" s="21">
        <f>E16</f>
        <v>87734927.30288199</v>
      </c>
      <c r="F13" s="21">
        <f>F17</f>
        <v>84580249.6568343</v>
      </c>
      <c r="G13" s="21">
        <f>G18</f>
        <v>58155448.33490584</v>
      </c>
      <c r="H13" s="21">
        <f>H19</f>
        <v>14844060</v>
      </c>
      <c r="I13" s="21">
        <f>I20</f>
        <v>14844060</v>
      </c>
      <c r="J13" s="21">
        <f>J21</f>
        <v>14844060</v>
      </c>
      <c r="K13" s="21">
        <f>K22</f>
        <v>14844060</v>
      </c>
      <c r="L13" s="21">
        <f>L23</f>
        <v>14844060</v>
      </c>
      <c r="M13" s="21">
        <f>SUM(M14:M23)</f>
        <v>640900847.5612596</v>
      </c>
      <c r="N13" s="22"/>
    </row>
    <row r="14" spans="1:13" s="12" customFormat="1" ht="21" customHeight="1">
      <c r="A14" s="23">
        <v>1</v>
      </c>
      <c r="B14" s="24" t="s">
        <v>130</v>
      </c>
      <c r="C14" s="25">
        <f>'Dự toán 1 ha trồng rừng'!K12</f>
        <v>237302444.72337094</v>
      </c>
      <c r="D14" s="25"/>
      <c r="E14" s="26"/>
      <c r="F14" s="26"/>
      <c r="G14" s="26"/>
      <c r="H14" s="26"/>
      <c r="I14" s="26"/>
      <c r="J14" s="26"/>
      <c r="K14" s="26"/>
      <c r="L14" s="26"/>
      <c r="M14" s="25">
        <f>C14</f>
        <v>237302444.72337094</v>
      </c>
    </row>
    <row r="15" spans="1:13" s="12" customFormat="1" ht="21" customHeight="1">
      <c r="A15" s="23">
        <v>2</v>
      </c>
      <c r="B15" s="24" t="s">
        <v>46</v>
      </c>
      <c r="C15" s="26"/>
      <c r="D15" s="25">
        <f>'Dự toán 1 ha trồng rừng'!K28</f>
        <v>98907477.5432666</v>
      </c>
      <c r="E15" s="25"/>
      <c r="F15" s="26"/>
      <c r="G15" s="26"/>
      <c r="H15" s="26"/>
      <c r="I15" s="26"/>
      <c r="J15" s="26"/>
      <c r="K15" s="26"/>
      <c r="L15" s="26"/>
      <c r="M15" s="25">
        <f>D15</f>
        <v>98907477.5432666</v>
      </c>
    </row>
    <row r="16" spans="1:13" s="12" customFormat="1" ht="21" customHeight="1">
      <c r="A16" s="23">
        <v>3</v>
      </c>
      <c r="B16" s="24" t="s">
        <v>47</v>
      </c>
      <c r="C16" s="26"/>
      <c r="D16" s="26"/>
      <c r="E16" s="25">
        <f>'Dự toán 1 ha trồng rừng'!K40</f>
        <v>87734927.30288199</v>
      </c>
      <c r="F16" s="25"/>
      <c r="G16" s="26"/>
      <c r="H16" s="26"/>
      <c r="I16" s="26"/>
      <c r="J16" s="26"/>
      <c r="K16" s="26"/>
      <c r="L16" s="26"/>
      <c r="M16" s="25">
        <f>E16</f>
        <v>87734927.30288199</v>
      </c>
    </row>
    <row r="17" spans="1:13" s="12" customFormat="1" ht="21" customHeight="1">
      <c r="A17" s="23">
        <v>4</v>
      </c>
      <c r="B17" s="24" t="s">
        <v>48</v>
      </c>
      <c r="C17" s="26"/>
      <c r="D17" s="26"/>
      <c r="E17" s="26"/>
      <c r="F17" s="25">
        <f>'Dự toán 1 ha trồng rừng'!K48</f>
        <v>84580249.6568343</v>
      </c>
      <c r="G17" s="25"/>
      <c r="H17" s="26"/>
      <c r="I17" s="26"/>
      <c r="J17" s="26"/>
      <c r="K17" s="26"/>
      <c r="L17" s="26"/>
      <c r="M17" s="25">
        <f>F17</f>
        <v>84580249.6568343</v>
      </c>
    </row>
    <row r="18" spans="1:13" s="12" customFormat="1" ht="21" customHeight="1">
      <c r="A18" s="23">
        <v>5</v>
      </c>
      <c r="B18" s="24" t="s">
        <v>49</v>
      </c>
      <c r="C18" s="26"/>
      <c r="D18" s="26"/>
      <c r="E18" s="26"/>
      <c r="F18" s="26"/>
      <c r="G18" s="25">
        <f>'Dự toán 1 ha trồng rừng'!K56</f>
        <v>58155448.33490584</v>
      </c>
      <c r="H18" s="26"/>
      <c r="I18" s="26"/>
      <c r="J18" s="26"/>
      <c r="K18" s="26"/>
      <c r="L18" s="26"/>
      <c r="M18" s="25">
        <f>G18</f>
        <v>58155448.33490584</v>
      </c>
    </row>
    <row r="19" spans="1:13" s="12" customFormat="1" ht="21" customHeight="1">
      <c r="A19" s="23">
        <v>6</v>
      </c>
      <c r="B19" s="24" t="s">
        <v>50</v>
      </c>
      <c r="C19" s="26"/>
      <c r="D19" s="26"/>
      <c r="E19" s="26"/>
      <c r="F19" s="26"/>
      <c r="G19" s="26"/>
      <c r="H19" s="25">
        <f>'Dự toán 1 ha trồng rừng'!K60</f>
        <v>14844060</v>
      </c>
      <c r="I19" s="26"/>
      <c r="J19" s="26"/>
      <c r="K19" s="26"/>
      <c r="L19" s="26"/>
      <c r="M19" s="25">
        <f>H19</f>
        <v>14844060</v>
      </c>
    </row>
    <row r="20" spans="1:14" s="12" customFormat="1" ht="21" customHeight="1">
      <c r="A20" s="23">
        <v>7</v>
      </c>
      <c r="B20" s="24" t="s">
        <v>51</v>
      </c>
      <c r="C20" s="26"/>
      <c r="D20" s="26"/>
      <c r="E20" s="26"/>
      <c r="F20" s="26"/>
      <c r="G20" s="26"/>
      <c r="H20" s="26"/>
      <c r="I20" s="25">
        <f>'Dự toán 1 ha trồng rừng'!K63</f>
        <v>14844060</v>
      </c>
      <c r="J20" s="26"/>
      <c r="K20" s="26"/>
      <c r="L20" s="26"/>
      <c r="M20" s="25">
        <f>I20</f>
        <v>14844060</v>
      </c>
      <c r="N20" s="30"/>
    </row>
    <row r="21" spans="1:14" s="12" customFormat="1" ht="21" customHeight="1">
      <c r="A21" s="23">
        <v>8</v>
      </c>
      <c r="B21" s="24" t="s">
        <v>52</v>
      </c>
      <c r="C21" s="26"/>
      <c r="D21" s="26"/>
      <c r="E21" s="26"/>
      <c r="F21" s="26"/>
      <c r="G21" s="26"/>
      <c r="H21" s="26"/>
      <c r="I21" s="26"/>
      <c r="J21" s="25">
        <f>'Dự toán 1 ha trồng rừng'!K66</f>
        <v>14844060</v>
      </c>
      <c r="K21" s="26"/>
      <c r="L21" s="26"/>
      <c r="M21" s="25">
        <f>J21</f>
        <v>14844060</v>
      </c>
      <c r="N21" s="30"/>
    </row>
    <row r="22" spans="1:14" s="12" customFormat="1" ht="21" customHeight="1">
      <c r="A22" s="23">
        <v>9</v>
      </c>
      <c r="B22" s="24" t="s">
        <v>53</v>
      </c>
      <c r="C22" s="26"/>
      <c r="D22" s="26"/>
      <c r="E22" s="26"/>
      <c r="F22" s="26"/>
      <c r="G22" s="26"/>
      <c r="H22" s="26"/>
      <c r="I22" s="26"/>
      <c r="J22" s="26"/>
      <c r="K22" s="25">
        <f>'Dự toán 1 ha trồng rừng'!K69</f>
        <v>14844060</v>
      </c>
      <c r="L22" s="26"/>
      <c r="M22" s="25">
        <f>K22</f>
        <v>14844060</v>
      </c>
      <c r="N22" s="30"/>
    </row>
    <row r="23" spans="1:14" s="12" customFormat="1" ht="21" customHeight="1">
      <c r="A23" s="23">
        <v>10</v>
      </c>
      <c r="B23" s="24" t="s">
        <v>54</v>
      </c>
      <c r="C23" s="26"/>
      <c r="D23" s="26"/>
      <c r="E23" s="26"/>
      <c r="F23" s="26"/>
      <c r="G23" s="26"/>
      <c r="H23" s="26"/>
      <c r="I23" s="26"/>
      <c r="J23" s="26"/>
      <c r="K23" s="26"/>
      <c r="L23" s="25">
        <f>'Dự toán 1 ha trồng rừng'!K72</f>
        <v>14844060</v>
      </c>
      <c r="M23" s="25">
        <f>L23</f>
        <v>14844060</v>
      </c>
      <c r="N23" s="31"/>
    </row>
    <row r="24" spans="1:14" s="29" customFormat="1" ht="21" customHeight="1">
      <c r="A24" s="27">
        <v>1</v>
      </c>
      <c r="B24" s="28" t="s">
        <v>69</v>
      </c>
      <c r="C24" s="21">
        <f>C8+C13</f>
        <v>317013944.7233709</v>
      </c>
      <c r="D24" s="21">
        <f aca="true" t="shared" si="2" ref="D24:L24">D8+D13</f>
        <v>106390227.5432666</v>
      </c>
      <c r="E24" s="21">
        <f t="shared" si="2"/>
        <v>87734927.30288199</v>
      </c>
      <c r="F24" s="21">
        <f t="shared" si="2"/>
        <v>84580249.6568343</v>
      </c>
      <c r="G24" s="21">
        <f t="shared" si="2"/>
        <v>58155448.33490584</v>
      </c>
      <c r="H24" s="21">
        <f t="shared" si="2"/>
        <v>14844060</v>
      </c>
      <c r="I24" s="21">
        <f t="shared" si="2"/>
        <v>14844060</v>
      </c>
      <c r="J24" s="21">
        <f t="shared" si="2"/>
        <v>14844060</v>
      </c>
      <c r="K24" s="21">
        <f t="shared" si="2"/>
        <v>14844060</v>
      </c>
      <c r="L24" s="21">
        <f t="shared" si="2"/>
        <v>14844060</v>
      </c>
      <c r="M24" s="21">
        <f>M13+M8</f>
        <v>728095097.5612596</v>
      </c>
      <c r="N24" s="32"/>
    </row>
    <row r="25" spans="1:14" s="29" customFormat="1" ht="21" customHeight="1">
      <c r="A25" s="27">
        <v>2</v>
      </c>
      <c r="B25" s="28" t="s">
        <v>70</v>
      </c>
      <c r="C25" s="21">
        <f>C24*5%</f>
        <v>15850697.236168547</v>
      </c>
      <c r="D25" s="21">
        <f aca="true" t="shared" si="3" ref="D25:M25">D24*5%</f>
        <v>5319511.37716333</v>
      </c>
      <c r="E25" s="21">
        <f t="shared" si="3"/>
        <v>4386746.365144099</v>
      </c>
      <c r="F25" s="21">
        <f t="shared" si="3"/>
        <v>4229012.482841715</v>
      </c>
      <c r="G25" s="21">
        <f t="shared" si="3"/>
        <v>2907772.416745292</v>
      </c>
      <c r="H25" s="21">
        <f t="shared" si="3"/>
        <v>742203</v>
      </c>
      <c r="I25" s="21">
        <f t="shared" si="3"/>
        <v>742203</v>
      </c>
      <c r="J25" s="21">
        <f t="shared" si="3"/>
        <v>742203</v>
      </c>
      <c r="K25" s="21">
        <f t="shared" si="3"/>
        <v>742203</v>
      </c>
      <c r="L25" s="21">
        <f t="shared" si="3"/>
        <v>742203</v>
      </c>
      <c r="M25" s="21">
        <f t="shared" si="3"/>
        <v>36404754.878062986</v>
      </c>
      <c r="N25" s="32"/>
    </row>
    <row r="26" spans="1:14" s="29" customFormat="1" ht="27">
      <c r="A26" s="27">
        <v>3</v>
      </c>
      <c r="B26" s="28" t="s">
        <v>71</v>
      </c>
      <c r="C26" s="21">
        <f>(C24+C25)*5.5%</f>
        <v>18307555.30777467</v>
      </c>
      <c r="D26" s="21">
        <f aca="true" t="shared" si="4" ref="D26:L26">(D24+D25)*5.5%</f>
        <v>6144035.640623646</v>
      </c>
      <c r="E26" s="21">
        <f t="shared" si="4"/>
        <v>5066692.051741435</v>
      </c>
      <c r="F26" s="21">
        <f t="shared" si="4"/>
        <v>4884509.417682181</v>
      </c>
      <c r="G26" s="21">
        <f t="shared" si="4"/>
        <v>3358477.141340812</v>
      </c>
      <c r="H26" s="21">
        <f t="shared" si="4"/>
        <v>857244.465</v>
      </c>
      <c r="I26" s="21">
        <f t="shared" si="4"/>
        <v>857244.465</v>
      </c>
      <c r="J26" s="21">
        <f t="shared" si="4"/>
        <v>857244.465</v>
      </c>
      <c r="K26" s="21">
        <f t="shared" si="4"/>
        <v>857244.465</v>
      </c>
      <c r="L26" s="21">
        <f t="shared" si="4"/>
        <v>857244.465</v>
      </c>
      <c r="M26" s="21">
        <f aca="true" t="shared" si="5" ref="M26:M32">SUM(C26:L26)</f>
        <v>42047491.88416276</v>
      </c>
      <c r="N26" s="32"/>
    </row>
    <row r="27" spans="1:14" s="29" customFormat="1" ht="27">
      <c r="A27" s="27">
        <v>4</v>
      </c>
      <c r="B27" s="28" t="s">
        <v>72</v>
      </c>
      <c r="C27" s="21">
        <f>(C24+C25+C26)*5%</f>
        <v>17558609.863365706</v>
      </c>
      <c r="D27" s="21">
        <f aca="true" t="shared" si="6" ref="D27:L27">(D24+D25+D26)*5%</f>
        <v>5892688.728052679</v>
      </c>
      <c r="E27" s="21">
        <f t="shared" si="6"/>
        <v>4859418.2859883765</v>
      </c>
      <c r="F27" s="21">
        <f t="shared" si="6"/>
        <v>4684688.57786791</v>
      </c>
      <c r="G27" s="21">
        <f t="shared" si="6"/>
        <v>3221084.8946495974</v>
      </c>
      <c r="H27" s="21">
        <f t="shared" si="6"/>
        <v>822175.3732500001</v>
      </c>
      <c r="I27" s="21">
        <f t="shared" si="6"/>
        <v>822175.3732500001</v>
      </c>
      <c r="J27" s="21">
        <f t="shared" si="6"/>
        <v>822175.3732500001</v>
      </c>
      <c r="K27" s="21">
        <f t="shared" si="6"/>
        <v>822175.3732500001</v>
      </c>
      <c r="L27" s="21">
        <f t="shared" si="6"/>
        <v>822175.3732500001</v>
      </c>
      <c r="M27" s="21">
        <f t="shared" si="5"/>
        <v>40327367.21617427</v>
      </c>
      <c r="N27" s="32"/>
    </row>
    <row r="28" spans="1:14" s="22" customFormat="1" ht="28.5" customHeight="1">
      <c r="A28" s="19">
        <v>5</v>
      </c>
      <c r="B28" s="41" t="s">
        <v>73</v>
      </c>
      <c r="C28" s="21">
        <f>(C24+C25+C26+C27)*2.125%</f>
        <v>7835529.6515269475</v>
      </c>
      <c r="D28" s="21">
        <f aca="true" t="shared" si="7" ref="D28:L28">(D24+D25+D26+D27)*2.125%</f>
        <v>2629612.344893508</v>
      </c>
      <c r="E28" s="21">
        <f t="shared" si="7"/>
        <v>2168515.410122313</v>
      </c>
      <c r="F28" s="21">
        <f t="shared" si="7"/>
        <v>2090542.2778735552</v>
      </c>
      <c r="G28" s="21">
        <f t="shared" si="7"/>
        <v>1437409.1342373828</v>
      </c>
      <c r="H28" s="21">
        <f t="shared" si="7"/>
        <v>366895.7603128125</v>
      </c>
      <c r="I28" s="21">
        <f t="shared" si="7"/>
        <v>366895.7603128125</v>
      </c>
      <c r="J28" s="21">
        <f t="shared" si="7"/>
        <v>366895.7603128125</v>
      </c>
      <c r="K28" s="21">
        <f t="shared" si="7"/>
        <v>366895.7603128125</v>
      </c>
      <c r="L28" s="21">
        <f t="shared" si="7"/>
        <v>366895.7603128125</v>
      </c>
      <c r="M28" s="21">
        <f t="shared" si="5"/>
        <v>17996087.620217774</v>
      </c>
      <c r="N28" s="39"/>
    </row>
    <row r="29" spans="1:14" s="22" customFormat="1" ht="45" customHeight="1">
      <c r="A29" s="42">
        <v>6</v>
      </c>
      <c r="B29" s="43" t="s">
        <v>74</v>
      </c>
      <c r="C29" s="44">
        <f>(C24+C25+C26+C27)*7.875%</f>
        <v>29037551.06154104</v>
      </c>
      <c r="D29" s="44">
        <f aca="true" t="shared" si="8" ref="D29:L29">(D24+D25+D26+D27)*7.875%</f>
        <v>9745033.984017117</v>
      </c>
      <c r="E29" s="44">
        <f t="shared" si="8"/>
        <v>8036262.990453278</v>
      </c>
      <c r="F29" s="44">
        <f t="shared" si="8"/>
        <v>7747303.735649057</v>
      </c>
      <c r="G29" s="44">
        <f t="shared" si="8"/>
        <v>5326869.144526771</v>
      </c>
      <c r="H29" s="44">
        <f t="shared" si="8"/>
        <v>1359672.5235121874</v>
      </c>
      <c r="I29" s="44">
        <f t="shared" si="8"/>
        <v>1359672.5235121874</v>
      </c>
      <c r="J29" s="44">
        <f t="shared" si="8"/>
        <v>1359672.5235121874</v>
      </c>
      <c r="K29" s="44">
        <f t="shared" si="8"/>
        <v>1359672.5235121874</v>
      </c>
      <c r="L29" s="44">
        <f t="shared" si="8"/>
        <v>1359672.5235121874</v>
      </c>
      <c r="M29" s="21">
        <f t="shared" si="5"/>
        <v>66691383.53374819</v>
      </c>
      <c r="N29" s="39"/>
    </row>
    <row r="30" spans="1:14" s="22" customFormat="1" ht="21" customHeight="1">
      <c r="A30" s="42">
        <v>7</v>
      </c>
      <c r="B30" s="43" t="s">
        <v>64</v>
      </c>
      <c r="C30" s="44">
        <f>C31+C32</f>
        <v>17558609.863365706</v>
      </c>
      <c r="D30" s="44">
        <f aca="true" t="shared" si="9" ref="D30:L30">D31+D32</f>
        <v>12080011.892507996</v>
      </c>
      <c r="E30" s="44">
        <f t="shared" si="9"/>
        <v>15319316.14657836</v>
      </c>
      <c r="F30" s="44">
        <f t="shared" si="9"/>
        <v>20191593.35668294</v>
      </c>
      <c r="G30" s="44">
        <f t="shared" si="9"/>
        <v>17798527.352778774</v>
      </c>
      <c r="H30" s="44">
        <f t="shared" si="9"/>
        <v>5592365.2054311475</v>
      </c>
      <c r="I30" s="44">
        <f t="shared" si="9"/>
        <v>6694158.838952702</v>
      </c>
      <c r="J30" s="44">
        <f t="shared" si="9"/>
        <v>7851042.154150342</v>
      </c>
      <c r="K30" s="44">
        <f t="shared" si="9"/>
        <v>9065769.635107854</v>
      </c>
      <c r="L30" s="44">
        <f t="shared" si="9"/>
        <v>10341233.490113249</v>
      </c>
      <c r="M30" s="21">
        <f t="shared" si="5"/>
        <v>122492627.93566908</v>
      </c>
      <c r="N30" s="39"/>
    </row>
    <row r="31" spans="1:14" s="131" customFormat="1" ht="21" customHeight="1">
      <c r="A31" s="128"/>
      <c r="B31" s="129" t="s">
        <v>124</v>
      </c>
      <c r="C31" s="130">
        <f>(C24+C25+C26)*$C$5</f>
        <v>17558609.863365706</v>
      </c>
      <c r="D31" s="130">
        <f aca="true" t="shared" si="10" ref="D31:L31">(D24+D25+D26)*$C$5</f>
        <v>5892688.728052679</v>
      </c>
      <c r="E31" s="130">
        <f t="shared" si="10"/>
        <v>4859418.2859883765</v>
      </c>
      <c r="F31" s="130">
        <f t="shared" si="10"/>
        <v>4684688.57786791</v>
      </c>
      <c r="G31" s="130">
        <f t="shared" si="10"/>
        <v>3221084.8946495974</v>
      </c>
      <c r="H31" s="130">
        <f t="shared" si="10"/>
        <v>822175.3732500001</v>
      </c>
      <c r="I31" s="130">
        <f t="shared" si="10"/>
        <v>822175.3732500001</v>
      </c>
      <c r="J31" s="130">
        <f t="shared" si="10"/>
        <v>822175.3732500001</v>
      </c>
      <c r="K31" s="130">
        <f t="shared" si="10"/>
        <v>822175.3732500001</v>
      </c>
      <c r="L31" s="130">
        <f t="shared" si="10"/>
        <v>822175.3732500001</v>
      </c>
      <c r="M31" s="130">
        <f t="shared" si="5"/>
        <v>40327367.21617427</v>
      </c>
      <c r="N31" s="31"/>
    </row>
    <row r="32" spans="1:14" s="131" customFormat="1" ht="21" customHeight="1">
      <c r="A32" s="128"/>
      <c r="B32" s="129" t="s">
        <v>125</v>
      </c>
      <c r="C32" s="130">
        <f aca="true" t="shared" si="11" ref="C32:L32">(C24+C25+C26+C31)*(C7-1)</f>
        <v>0</v>
      </c>
      <c r="D32" s="130">
        <f t="shared" si="11"/>
        <v>6187323.164455318</v>
      </c>
      <c r="E32" s="130">
        <f t="shared" si="11"/>
        <v>10459897.860589983</v>
      </c>
      <c r="F32" s="130">
        <f t="shared" si="11"/>
        <v>15506904.77881503</v>
      </c>
      <c r="G32" s="130">
        <f t="shared" si="11"/>
        <v>14577442.458129175</v>
      </c>
      <c r="H32" s="130">
        <f t="shared" si="11"/>
        <v>4770189.832181147</v>
      </c>
      <c r="I32" s="130">
        <f t="shared" si="11"/>
        <v>5871983.465702701</v>
      </c>
      <c r="J32" s="130">
        <f t="shared" si="11"/>
        <v>7028866.780900341</v>
      </c>
      <c r="K32" s="130">
        <f t="shared" si="11"/>
        <v>8243594.261857855</v>
      </c>
      <c r="L32" s="130">
        <f t="shared" si="11"/>
        <v>9519058.116863249</v>
      </c>
      <c r="M32" s="25">
        <f t="shared" si="5"/>
        <v>82165260.7194948</v>
      </c>
      <c r="N32" s="31"/>
    </row>
    <row r="33" spans="1:14" s="29" customFormat="1" ht="21" customHeight="1">
      <c r="A33" s="33"/>
      <c r="B33" s="34" t="s">
        <v>75</v>
      </c>
      <c r="C33" s="35">
        <f>C24+C25+C26+C27+C28+C29+C30</f>
        <v>423162497.7071135</v>
      </c>
      <c r="D33" s="35">
        <f aca="true" t="shared" si="12" ref="D33:M33">D24+D25+D26+D27+D28+D29+D30</f>
        <v>148201121.51052487</v>
      </c>
      <c r="E33" s="35">
        <f t="shared" si="12"/>
        <v>127571878.55290985</v>
      </c>
      <c r="F33" s="35">
        <f t="shared" si="12"/>
        <v>128407899.50543167</v>
      </c>
      <c r="G33" s="35">
        <f t="shared" si="12"/>
        <v>92205588.41918446</v>
      </c>
      <c r="H33" s="35">
        <f t="shared" si="12"/>
        <v>24584616.32750615</v>
      </c>
      <c r="I33" s="35">
        <f t="shared" si="12"/>
        <v>25686409.961027704</v>
      </c>
      <c r="J33" s="35">
        <f t="shared" si="12"/>
        <v>26843293.276225343</v>
      </c>
      <c r="K33" s="35">
        <f t="shared" si="12"/>
        <v>28058020.75718286</v>
      </c>
      <c r="L33" s="35">
        <f t="shared" si="12"/>
        <v>29333484.61218825</v>
      </c>
      <c r="M33" s="35">
        <f t="shared" si="12"/>
        <v>1054054810.6292946</v>
      </c>
      <c r="N33" s="22"/>
    </row>
    <row r="34" spans="1:14" s="29" customFormat="1" ht="21" customHeight="1">
      <c r="A34" s="133"/>
      <c r="B34" s="134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22"/>
    </row>
    <row r="35" spans="1:14" s="29" customFormat="1" ht="21" customHeight="1">
      <c r="A35" s="133"/>
      <c r="B35" s="134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22"/>
    </row>
    <row r="36" spans="1:14" s="29" customFormat="1" ht="21" customHeight="1">
      <c r="A36" s="133"/>
      <c r="B36" s="134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22"/>
    </row>
    <row r="37" spans="1:14" s="29" customFormat="1" ht="21" customHeight="1">
      <c r="A37" s="133"/>
      <c r="B37" s="134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22"/>
    </row>
    <row r="38" spans="1:14" s="29" customFormat="1" ht="21" customHeight="1">
      <c r="A38" s="133"/>
      <c r="B38" s="134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22"/>
    </row>
    <row r="39" spans="1:14" s="29" customFormat="1" ht="21" customHeight="1">
      <c r="A39" s="133"/>
      <c r="B39" s="134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22"/>
    </row>
    <row r="40" spans="1:14" s="29" customFormat="1" ht="21" customHeight="1">
      <c r="A40" s="133"/>
      <c r="B40" s="134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22"/>
    </row>
    <row r="41" spans="1:14" s="29" customFormat="1" ht="21" customHeight="1">
      <c r="A41" s="133"/>
      <c r="B41" s="134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22"/>
    </row>
    <row r="42" spans="1:14" s="29" customFormat="1" ht="21" customHeight="1">
      <c r="A42" s="133"/>
      <c r="B42" s="134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22"/>
    </row>
    <row r="43" spans="1:14" s="29" customFormat="1" ht="21" customHeight="1">
      <c r="A43" s="133"/>
      <c r="B43" s="134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22"/>
    </row>
    <row r="44" spans="1:14" s="29" customFormat="1" ht="21" customHeight="1">
      <c r="A44" s="133"/>
      <c r="B44" s="134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22"/>
    </row>
    <row r="45" spans="1:14" s="29" customFormat="1" ht="21" customHeight="1">
      <c r="A45" s="133"/>
      <c r="B45" s="134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22"/>
    </row>
    <row r="46" spans="1:14" s="29" customFormat="1" ht="21" customHeight="1">
      <c r="A46" s="133"/>
      <c r="B46" s="134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22"/>
    </row>
    <row r="47" spans="1:14" s="29" customFormat="1" ht="21" customHeight="1">
      <c r="A47" s="133"/>
      <c r="B47" s="134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22"/>
    </row>
    <row r="48" spans="1:14" s="29" customFormat="1" ht="21" customHeight="1">
      <c r="A48" s="133"/>
      <c r="B48" s="134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22"/>
    </row>
    <row r="49" spans="1:14" s="29" customFormat="1" ht="21" customHeight="1">
      <c r="A49" s="133"/>
      <c r="B49" s="134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22"/>
    </row>
    <row r="50" spans="1:14" s="29" customFormat="1" ht="21" customHeight="1">
      <c r="A50" s="133"/>
      <c r="B50" s="134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22"/>
    </row>
    <row r="51" spans="1:14" s="29" customFormat="1" ht="21" customHeight="1">
      <c r="A51" s="133"/>
      <c r="B51" s="134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22"/>
    </row>
    <row r="52" spans="1:14" s="29" customFormat="1" ht="21" customHeight="1">
      <c r="A52" s="133"/>
      <c r="B52" s="134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22"/>
    </row>
    <row r="53" spans="1:14" s="29" customFormat="1" ht="21" customHeight="1">
      <c r="A53" s="133"/>
      <c r="B53" s="134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22"/>
    </row>
    <row r="54" spans="1:14" s="29" customFormat="1" ht="21" customHeight="1">
      <c r="A54" s="133"/>
      <c r="B54" s="134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22"/>
    </row>
    <row r="56" spans="3:14" ht="13.5">
      <c r="C56" s="37">
        <f>C24+C25+C26+C27+C28+C29+C30</f>
        <v>423162497.7071135</v>
      </c>
      <c r="M56" s="122">
        <f>M24+M25+M26+M27+M28+M29+M30</f>
        <v>1054054810.6292946</v>
      </c>
      <c r="N56" s="11">
        <f>M56/16.5</f>
        <v>63882109.73510876</v>
      </c>
    </row>
    <row r="57" spans="4:14" ht="13.5">
      <c r="D57" s="37"/>
      <c r="M57" s="37">
        <f>M56-M30</f>
        <v>931562182.6936256</v>
      </c>
      <c r="N57" s="11">
        <f>9418526389/128.5</f>
        <v>73295925.20622568</v>
      </c>
    </row>
    <row r="58" spans="3:13" ht="13.5">
      <c r="C58" s="37"/>
      <c r="L58" s="37"/>
      <c r="M58" s="37">
        <f>M57/16.5</f>
        <v>56458314.102643974</v>
      </c>
    </row>
    <row r="59" spans="2:13" ht="13.5">
      <c r="B59" s="37"/>
      <c r="C59" s="37"/>
      <c r="D59" s="37"/>
      <c r="L59" s="37"/>
      <c r="M59" s="37"/>
    </row>
    <row r="60" spans="2:13" ht="13.5">
      <c r="B60" s="40"/>
      <c r="C60" s="37"/>
      <c r="L60" s="38"/>
      <c r="M60" s="38"/>
    </row>
    <row r="61" spans="3:13" ht="13.5">
      <c r="C61" s="37"/>
      <c r="D61" s="37"/>
      <c r="M61" s="37"/>
    </row>
    <row r="62" ht="13.5">
      <c r="M62" s="37"/>
    </row>
    <row r="63" spans="12:13" ht="13.5">
      <c r="L63" s="38"/>
      <c r="M63" s="38"/>
    </row>
    <row r="64" spans="12:13" ht="13.5">
      <c r="L64" s="38"/>
      <c r="M64" s="38"/>
    </row>
  </sheetData>
  <sheetProtection/>
  <mergeCells count="2">
    <mergeCell ref="A1:M1"/>
    <mergeCell ref="A2:M2"/>
  </mergeCells>
  <printOptions/>
  <pageMargins left="0.32" right="0.2" top="0.51" bottom="0.47" header="0.2" footer="0.2"/>
  <pageSetup horizontalDpi="600" verticalDpi="600" orientation="landscape" r:id="rId1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2" sqref="A2:C2"/>
    </sheetView>
  </sheetViews>
  <sheetFormatPr defaultColWidth="9.00390625" defaultRowHeight="15.75"/>
  <cols>
    <col min="1" max="1" width="5.00390625" style="0" customWidth="1"/>
    <col min="2" max="2" width="52.375" style="0" customWidth="1"/>
    <col min="3" max="3" width="17.50390625" style="0" customWidth="1"/>
    <col min="5" max="5" width="10.875" style="0" bestFit="1" customWidth="1"/>
  </cols>
  <sheetData>
    <row r="1" spans="1:3" ht="17.25">
      <c r="A1" s="167" t="s">
        <v>134</v>
      </c>
      <c r="B1" s="167"/>
      <c r="C1" s="167"/>
    </row>
    <row r="2" spans="1:3" ht="16.5">
      <c r="A2" s="168" t="s">
        <v>149</v>
      </c>
      <c r="B2" s="168"/>
      <c r="C2" s="168"/>
    </row>
    <row r="3" spans="1:3" ht="17.25" thickBot="1">
      <c r="A3" s="169"/>
      <c r="B3" s="169"/>
      <c r="C3" s="169"/>
    </row>
    <row r="4" spans="1:3" ht="22.5" customHeight="1" thickTop="1">
      <c r="A4" s="92" t="s">
        <v>6</v>
      </c>
      <c r="B4" s="93" t="s">
        <v>7</v>
      </c>
      <c r="C4" s="94" t="s">
        <v>91</v>
      </c>
    </row>
    <row r="5" spans="1:5" ht="22.5" customHeight="1">
      <c r="A5" s="143" t="s">
        <v>3</v>
      </c>
      <c r="B5" s="144" t="s">
        <v>44</v>
      </c>
      <c r="C5" s="145">
        <f>SUM(C6:C8)</f>
        <v>87194250</v>
      </c>
      <c r="E5" s="95"/>
    </row>
    <row r="6" spans="1:3" ht="22.5" customHeight="1">
      <c r="A6" s="146">
        <v>1</v>
      </c>
      <c r="B6" s="147" t="s">
        <v>14</v>
      </c>
      <c r="C6" s="148">
        <f>'KH chi tiết 1 ha trồng rừng'!$M$9</f>
        <v>50587350</v>
      </c>
    </row>
    <row r="7" spans="1:3" ht="22.5" customHeight="1">
      <c r="A7" s="146">
        <v>3</v>
      </c>
      <c r="B7" s="147" t="s">
        <v>98</v>
      </c>
      <c r="C7" s="148">
        <f>'KH chi tiết 1 ha trồng rừng'!$M$11</f>
        <v>4398900</v>
      </c>
    </row>
    <row r="8" spans="1:3" ht="22.5" customHeight="1">
      <c r="A8" s="146">
        <v>4</v>
      </c>
      <c r="B8" s="147" t="s">
        <v>9</v>
      </c>
      <c r="C8" s="148">
        <f>'KH chi tiết 1 ha trồng rừng'!$M$10</f>
        <v>32208000</v>
      </c>
    </row>
    <row r="9" spans="1:5" ht="22.5" customHeight="1">
      <c r="A9" s="143" t="s">
        <v>4</v>
      </c>
      <c r="B9" s="144" t="s">
        <v>92</v>
      </c>
      <c r="C9" s="145">
        <f>SUM(C10:C19)</f>
        <v>640900847.5612596</v>
      </c>
      <c r="E9" s="95"/>
    </row>
    <row r="10" spans="1:3" ht="22.5" customHeight="1">
      <c r="A10" s="146">
        <v>1</v>
      </c>
      <c r="B10" s="147" t="s">
        <v>45</v>
      </c>
      <c r="C10" s="148">
        <f>'KH chi tiết 1 ha trồng rừng'!$M$14</f>
        <v>237302444.72337094</v>
      </c>
    </row>
    <row r="11" spans="1:3" ht="22.5" customHeight="1">
      <c r="A11" s="146">
        <v>2</v>
      </c>
      <c r="B11" s="147" t="s">
        <v>46</v>
      </c>
      <c r="C11" s="148">
        <f>'KH chi tiết 1 ha trồng rừng'!M15</f>
        <v>98907477.5432666</v>
      </c>
    </row>
    <row r="12" spans="1:3" ht="22.5" customHeight="1">
      <c r="A12" s="146">
        <v>3</v>
      </c>
      <c r="B12" s="147" t="s">
        <v>47</v>
      </c>
      <c r="C12" s="148">
        <f>'KH chi tiết 1 ha trồng rừng'!M16</f>
        <v>87734927.30288199</v>
      </c>
    </row>
    <row r="13" spans="1:3" ht="22.5" customHeight="1">
      <c r="A13" s="146">
        <v>4</v>
      </c>
      <c r="B13" s="147" t="s">
        <v>48</v>
      </c>
      <c r="C13" s="148">
        <f>'KH chi tiết 1 ha trồng rừng'!M17</f>
        <v>84580249.6568343</v>
      </c>
    </row>
    <row r="14" spans="1:3" ht="22.5" customHeight="1">
      <c r="A14" s="146">
        <v>5</v>
      </c>
      <c r="B14" s="147" t="s">
        <v>49</v>
      </c>
      <c r="C14" s="148">
        <f>'KH chi tiết 1 ha trồng rừng'!M18</f>
        <v>58155448.33490584</v>
      </c>
    </row>
    <row r="15" spans="1:3" ht="22.5" customHeight="1">
      <c r="A15" s="146">
        <v>6</v>
      </c>
      <c r="B15" s="147" t="s">
        <v>50</v>
      </c>
      <c r="C15" s="148">
        <f>'KH chi tiết 1 ha trồng rừng'!M19</f>
        <v>14844060</v>
      </c>
    </row>
    <row r="16" spans="1:3" ht="22.5" customHeight="1">
      <c r="A16" s="146">
        <v>7</v>
      </c>
      <c r="B16" s="147" t="s">
        <v>51</v>
      </c>
      <c r="C16" s="148">
        <f>'KH chi tiết 1 ha trồng rừng'!M20</f>
        <v>14844060</v>
      </c>
    </row>
    <row r="17" spans="1:3" ht="22.5" customHeight="1">
      <c r="A17" s="146">
        <v>8</v>
      </c>
      <c r="B17" s="147" t="s">
        <v>52</v>
      </c>
      <c r="C17" s="148">
        <f>'KH chi tiết 1 ha trồng rừng'!M21</f>
        <v>14844060</v>
      </c>
    </row>
    <row r="18" spans="1:3" ht="22.5" customHeight="1">
      <c r="A18" s="146">
        <v>9</v>
      </c>
      <c r="B18" s="147" t="s">
        <v>53</v>
      </c>
      <c r="C18" s="148">
        <f>'KH chi tiết 1 ha trồng rừng'!M22</f>
        <v>14844060</v>
      </c>
    </row>
    <row r="19" spans="1:3" ht="22.5" customHeight="1">
      <c r="A19" s="146">
        <v>10</v>
      </c>
      <c r="B19" s="147" t="s">
        <v>54</v>
      </c>
      <c r="C19" s="148">
        <f>'KH chi tiết 1 ha trồng rừng'!M23</f>
        <v>14844060</v>
      </c>
    </row>
    <row r="20" spans="1:3" ht="22.5" customHeight="1">
      <c r="A20" s="143" t="s">
        <v>16</v>
      </c>
      <c r="B20" s="144" t="s">
        <v>99</v>
      </c>
      <c r="C20" s="145">
        <f>C5+C9</f>
        <v>728095097.5612596</v>
      </c>
    </row>
    <row r="21" spans="1:3" ht="22.5" customHeight="1">
      <c r="A21" s="143" t="s">
        <v>17</v>
      </c>
      <c r="B21" s="149" t="s">
        <v>93</v>
      </c>
      <c r="C21" s="145">
        <f>'KH chi tiết 1 ha trồng rừng'!$M$25</f>
        <v>36404754.878062986</v>
      </c>
    </row>
    <row r="22" spans="1:3" ht="22.5" customHeight="1">
      <c r="A22" s="143" t="s">
        <v>18</v>
      </c>
      <c r="B22" s="149" t="s">
        <v>94</v>
      </c>
      <c r="C22" s="145">
        <f>'KH chi tiết 1 ha trồng rừng'!$M$26</f>
        <v>42047491.88416276</v>
      </c>
    </row>
    <row r="23" spans="1:3" ht="22.5" customHeight="1">
      <c r="A23" s="143" t="s">
        <v>19</v>
      </c>
      <c r="B23" s="149" t="s">
        <v>95</v>
      </c>
      <c r="C23" s="145">
        <f>'KH chi tiết 1 ha trồng rừng'!$M$27</f>
        <v>40327367.21617427</v>
      </c>
    </row>
    <row r="24" spans="1:3" ht="22.5" customHeight="1">
      <c r="A24" s="150" t="s">
        <v>20</v>
      </c>
      <c r="B24" s="151" t="s">
        <v>133</v>
      </c>
      <c r="C24" s="145">
        <f>'KH chi tiết 1 ha trồng rừng'!M30</f>
        <v>122492627.93566908</v>
      </c>
    </row>
    <row r="25" spans="1:3" ht="22.5" customHeight="1">
      <c r="A25" s="150" t="s">
        <v>21</v>
      </c>
      <c r="B25" s="151" t="s">
        <v>96</v>
      </c>
      <c r="C25" s="145">
        <f>'KH chi tiết 1 ha trồng rừng'!$M$28</f>
        <v>17996087.620217774</v>
      </c>
    </row>
    <row r="26" spans="1:3" ht="22.5" customHeight="1">
      <c r="A26" s="150" t="s">
        <v>22</v>
      </c>
      <c r="B26" s="151" t="s">
        <v>97</v>
      </c>
      <c r="C26" s="145">
        <f>'KH chi tiết 1 ha trồng rừng'!$M$29</f>
        <v>66691383.53374819</v>
      </c>
    </row>
    <row r="27" spans="1:3" ht="22.5" customHeight="1" thickBot="1">
      <c r="A27" s="152"/>
      <c r="B27" s="153" t="s">
        <v>5</v>
      </c>
      <c r="C27" s="154">
        <f>'KH chi tiết 1 ha trồng rừng'!$M$33</f>
        <v>1054054810.6292946</v>
      </c>
    </row>
    <row r="28" ht="15.75" thickTop="1">
      <c r="C28" s="95"/>
    </row>
    <row r="29" ht="15">
      <c r="C29" s="95"/>
    </row>
  </sheetData>
  <sheetProtection/>
  <mergeCells count="3">
    <mergeCell ref="A1:C1"/>
    <mergeCell ref="A2:C2"/>
    <mergeCell ref="A3:C3"/>
  </mergeCells>
  <printOptions/>
  <pageMargins left="1.2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2012-07-26T08:28:48Z</cp:lastPrinted>
  <dcterms:created xsi:type="dcterms:W3CDTF">2011-06-01T01:22:44Z</dcterms:created>
  <dcterms:modified xsi:type="dcterms:W3CDTF">2012-07-31T01:13:35Z</dcterms:modified>
  <cp:category/>
  <cp:version/>
  <cp:contentType/>
  <cp:contentStatus/>
</cp:coreProperties>
</file>