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2"/>
  </bookViews>
  <sheets>
    <sheet name="Sheet1" sheetId="1" r:id="rId1"/>
    <sheet name="Sheet3" sheetId="2" r:id="rId2"/>
    <sheet name="Sheet4" sheetId="3" r:id="rId3"/>
  </sheets>
  <externalReferences>
    <externalReference r:id="rId6"/>
  </externalReferences>
  <definedNames>
    <definedName name="_xlnm.Print_Titles" localSheetId="0">'Sheet1'!$15:$15</definedName>
  </definedNames>
  <calcPr fullCalcOnLoad="1"/>
</workbook>
</file>

<file path=xl/comments1.xml><?xml version="1.0" encoding="utf-8"?>
<comments xmlns="http://schemas.openxmlformats.org/spreadsheetml/2006/main">
  <authors>
    <author>ismail - [2010]</author>
  </authors>
  <commentList>
    <comment ref="B22" authorId="0">
      <text>
        <r>
          <rPr>
            <b/>
            <sz val="8"/>
            <rFont val="Tahoma"/>
            <family val="2"/>
          </rPr>
          <t>ismail - [2010]:</t>
        </r>
        <r>
          <rPr>
            <sz val="8"/>
            <rFont val="Tahoma"/>
            <family val="2"/>
          </rPr>
          <t xml:space="preserve">
hoac la vun xoi goc
</t>
        </r>
      </text>
    </comment>
  </commentList>
</comments>
</file>

<file path=xl/sharedStrings.xml><?xml version="1.0" encoding="utf-8"?>
<sst xmlns="http://schemas.openxmlformats.org/spreadsheetml/2006/main" count="287" uniqueCount="154">
  <si>
    <t>DỰ TOÁN CHI TIẾT 1 HA TRỒNG RỪNG THAY THẾ</t>
  </si>
  <si>
    <t>1) Cơ sở lập dự toán</t>
  </si>
  <si>
    <t xml:space="preserve">Căn cứ Quyết định số 38/2005/QĐ-BNN ngày 06/7/2005 của Bộ Nông nghiệp &amp; PTNT về ban hành định mức kinh tế kỹ thuật </t>
  </si>
  <si>
    <t>trồng rừng, khoanh nuôi xúc tiến tái sinh và bảo vệ rừng.</t>
  </si>
  <si>
    <t xml:space="preserve">Căn cứ Thông tư số 69/2011/TT-BNNPTNT ngày 21/10/20111 của Bộ Nông nghiệp &amp; PTNT về việc hướng dẫn thực hiện </t>
  </si>
  <si>
    <t xml:space="preserve"> một số nội dung quy chế quản lý đầu tư xây dựng công trình lâm sinh ban hành kèm theo Quyết định số 73/2010/QĐ-TTg ngày  </t>
  </si>
  <si>
    <t>16/11/2010 của Thủ tướng Chính phủ.</t>
  </si>
  <si>
    <t xml:space="preserve">Căn cứ vào các yếu tố tự nhiên: Độ dốc, nhóm thực bì, nhóm đất, cự li đi làm ở mức trung bình </t>
  </si>
  <si>
    <t>Hệ số phụ cấp khu vực: 0,7; Hệ số lương công nhân kỹ thuật bậc 3: 2,56.</t>
  </si>
  <si>
    <t>2) Dự toán chi tiết</t>
  </si>
  <si>
    <t>TT</t>
  </si>
  <si>
    <t>Hạng mục</t>
  </si>
  <si>
    <t>Mã số</t>
  </si>
  <si>
    <t>Khối lượng</t>
  </si>
  <si>
    <t>ĐVT</t>
  </si>
  <si>
    <t>Định mức</t>
  </si>
  <si>
    <t xml:space="preserve">Tổng số </t>
  </si>
  <si>
    <t>Hệ số lương</t>
  </si>
  <si>
    <t>Đơn giá     (đồng)</t>
  </si>
  <si>
    <t>Dự toán 1ha (đồng)</t>
  </si>
  <si>
    <t>A</t>
  </si>
  <si>
    <t>Trồng rừng</t>
  </si>
  <si>
    <t>I</t>
  </si>
  <si>
    <t>Vật tư</t>
  </si>
  <si>
    <t>-</t>
  </si>
  <si>
    <t>Cây giống: Sao đen</t>
  </si>
  <si>
    <t>Cây</t>
  </si>
  <si>
    <t>Phân bón NPK 16-16-8</t>
  </si>
  <si>
    <t>kg</t>
  </si>
  <si>
    <t>kg/hố</t>
  </si>
  <si>
    <t>II</t>
  </si>
  <si>
    <t>Chi phí lao động</t>
  </si>
  <si>
    <t>Xử lý thực bì</t>
  </si>
  <si>
    <t>76 - c</t>
  </si>
  <si>
    <t xml:space="preserve">M2 </t>
  </si>
  <si>
    <t>M2/công</t>
  </si>
  <si>
    <r>
      <t>Cuốc cục bộ 1 m</t>
    </r>
    <r>
      <rPr>
        <vertAlign val="superscript"/>
        <sz val="11"/>
        <rFont val="Times New Roman"/>
        <family val="1"/>
      </rPr>
      <t>2</t>
    </r>
  </si>
  <si>
    <t>130 - c</t>
  </si>
  <si>
    <t>Gốc</t>
  </si>
  <si>
    <t>Gốc/công</t>
  </si>
  <si>
    <t xml:space="preserve">Đào hố </t>
  </si>
  <si>
    <t>86 - c</t>
  </si>
  <si>
    <t>Hố</t>
  </si>
  <si>
    <t>Hố/công</t>
  </si>
  <si>
    <t>Lấp hố</t>
  </si>
  <si>
    <t>101 - b</t>
  </si>
  <si>
    <t>Vận chuyển và trồng cây</t>
  </si>
  <si>
    <t>111 - b</t>
  </si>
  <si>
    <t>Cây/công</t>
  </si>
  <si>
    <t>Vận chuyển và bón phân</t>
  </si>
  <si>
    <t>120 - a</t>
  </si>
  <si>
    <t>kg/công</t>
  </si>
  <si>
    <t>Trồng dặm</t>
  </si>
  <si>
    <t>145 - b</t>
  </si>
  <si>
    <t>B</t>
  </si>
  <si>
    <t>Chăm sóc rừng năm 1</t>
  </si>
  <si>
    <t>Vật Tư</t>
  </si>
  <si>
    <t>Cây giống (Sao đen)</t>
  </si>
  <si>
    <t>Chí phí lao động</t>
  </si>
  <si>
    <t xml:space="preserve">Xử lý thực bì lần 1 </t>
  </si>
  <si>
    <t>114 - h</t>
  </si>
  <si>
    <t>Xử lý thực bì  lần 2</t>
  </si>
  <si>
    <t>115 - h</t>
  </si>
  <si>
    <t>Dẫy cỏ + xới vun gốc</t>
  </si>
  <si>
    <t>Đào hố (tra dặm)</t>
  </si>
  <si>
    <t>Vận chuyển và trồng dặm</t>
  </si>
  <si>
    <t xml:space="preserve">Bảo vệ </t>
  </si>
  <si>
    <t>154 - a</t>
  </si>
  <si>
    <t>Ha</t>
  </si>
  <si>
    <t>Công/ha/năm</t>
  </si>
  <si>
    <t>C</t>
  </si>
  <si>
    <t>Chăm sóc rừng năm 2</t>
  </si>
  <si>
    <t>Nhân công</t>
  </si>
  <si>
    <t>Xử lý thực bì lần 1</t>
  </si>
  <si>
    <t>Xử lý thực bì lần 2</t>
  </si>
  <si>
    <t>D</t>
  </si>
  <si>
    <t>Chăm sóc rừng năm 3</t>
  </si>
  <si>
    <t>116 - h</t>
  </si>
  <si>
    <t>117 - h</t>
  </si>
  <si>
    <t>E</t>
  </si>
  <si>
    <t xml:space="preserve">Chăm sóc rừng năm 4 </t>
  </si>
  <si>
    <t>F</t>
  </si>
  <si>
    <t>QLBVR năm 1</t>
  </si>
  <si>
    <t xml:space="preserve">Chăm sóc, bảo vệ </t>
  </si>
  <si>
    <t>G</t>
  </si>
  <si>
    <t>QLBVR năm 2</t>
  </si>
  <si>
    <t>H</t>
  </si>
  <si>
    <t>QLBVR năm 3</t>
  </si>
  <si>
    <t>M</t>
  </si>
  <si>
    <t>QLBVR năm 4</t>
  </si>
  <si>
    <t>N</t>
  </si>
  <si>
    <t>QLBVR năm 5</t>
  </si>
  <si>
    <t>Tổng cộng</t>
  </si>
  <si>
    <t>ĐVT: đồng</t>
  </si>
  <si>
    <t>Năm</t>
  </si>
  <si>
    <t>Năm thứ 1</t>
  </si>
  <si>
    <t>Năm thứ 2</t>
  </si>
  <si>
    <t>Năm thứ 3</t>
  </si>
  <si>
    <t>Năm thứ 4</t>
  </si>
  <si>
    <t>Năm thứ 5</t>
  </si>
  <si>
    <t>Năm thứ 6</t>
  </si>
  <si>
    <t>Năm thứ 7</t>
  </si>
  <si>
    <t>Năm thứ 8</t>
  </si>
  <si>
    <t>Năm thứ 9</t>
  </si>
  <si>
    <t>Năm thứ 10</t>
  </si>
  <si>
    <t>*</t>
  </si>
  <si>
    <t>Năm thực hiện</t>
  </si>
  <si>
    <t>Tỷ lệ dự phòng khối lượng</t>
  </si>
  <si>
    <t>Tỷ lệ lam phát</t>
  </si>
  <si>
    <t>Chỉ số lạm phát</t>
  </si>
  <si>
    <t>Chi phí vật tư</t>
  </si>
  <si>
    <t>Cây giống</t>
  </si>
  <si>
    <t>Phân bón</t>
  </si>
  <si>
    <t xml:space="preserve">Chi phí nhân công </t>
  </si>
  <si>
    <t>Năm 1: chuẩn bị hiện trường/trồng rừng</t>
  </si>
  <si>
    <t>Năm 2: chăm sóc</t>
  </si>
  <si>
    <t>Năm 3: chăm sóc</t>
  </si>
  <si>
    <t>Năm 4: chăm sóc</t>
  </si>
  <si>
    <t>Năm 5: chăm sóc</t>
  </si>
  <si>
    <t>Năm 6: bảo vệ</t>
  </si>
  <si>
    <t>Năm 7: bảo vệ</t>
  </si>
  <si>
    <t>Năm 8: bảo vệ</t>
  </si>
  <si>
    <t>Năm 9: bảo vệ</t>
  </si>
  <si>
    <t>Năm 10: bảo vệ</t>
  </si>
  <si>
    <t>III</t>
  </si>
  <si>
    <t>Tổng (I + II)</t>
  </si>
  <si>
    <t>IV</t>
  </si>
  <si>
    <t xml:space="preserve">Chi phí chung 5% (III) </t>
  </si>
  <si>
    <t>V</t>
  </si>
  <si>
    <t>Thu nhập chịu thuế tính trước 5,5% (III+IV)</t>
  </si>
  <si>
    <t>VI</t>
  </si>
  <si>
    <t>Thuế giá trị gia tăng 5% (III+IV+V)</t>
  </si>
  <si>
    <t>VII</t>
  </si>
  <si>
    <t>Chi phí QLDA 2,125%*(III+IV+V+VI)</t>
  </si>
  <si>
    <t>VIII</t>
  </si>
  <si>
    <t>Chi phí tư vấn đầu tư xây dựng 7,875% x (III+IV+V+VI)</t>
  </si>
  <si>
    <t>IX</t>
  </si>
  <si>
    <t>Chi phí dự phòng 10% (III+IV+V)</t>
  </si>
  <si>
    <t>Dự phòng khối lượng</t>
  </si>
  <si>
    <t>Dự phòng giá</t>
  </si>
  <si>
    <t xml:space="preserve">Tổng chi phí </t>
  </si>
  <si>
    <t>Chi phí QLDA 2,125% (III+IV+V+VI)</t>
  </si>
  <si>
    <t>V/c cây  đến hiện trường</t>
  </si>
  <si>
    <t>Vc cây đến hiện trường</t>
  </si>
  <si>
    <r>
      <t>(Độ dốc từ 20</t>
    </r>
    <r>
      <rPr>
        <vertAlign val="superscript"/>
        <sz val="13"/>
        <color indexed="8"/>
        <rFont val="Times New Roman"/>
        <family val="1"/>
      </rPr>
      <t>0</t>
    </r>
    <r>
      <rPr>
        <sz val="13"/>
        <color indexed="8"/>
        <rFont val="Times New Roman"/>
        <family val="1"/>
      </rPr>
      <t xml:space="preserve"> – 25</t>
    </r>
    <r>
      <rPr>
        <vertAlign val="superscript"/>
        <sz val="13"/>
        <color indexed="8"/>
        <rFont val="Times New Roman"/>
        <family val="1"/>
      </rPr>
      <t>0</t>
    </r>
    <r>
      <rPr>
        <sz val="13"/>
        <color indexed="8"/>
        <rFont val="Times New Roman"/>
        <family val="1"/>
      </rPr>
      <t xml:space="preserve">; Nhóm thực bì: nhóm 3; Nhóm đất: nhóm 3; Cự li đi làm: từ 2 – 3 km). </t>
    </r>
  </si>
  <si>
    <t>Dự toán 1 ha (đồng)</t>
  </si>
  <si>
    <t>Dự toán 0,7  ha (đồng)</t>
  </si>
  <si>
    <t>Dự toán 0,7 ha (đồng)</t>
  </si>
  <si>
    <t>Tổng chi phí  làm tròn</t>
  </si>
  <si>
    <t>Tổng cộng làm tròn</t>
  </si>
  <si>
    <t>Biểu số 01</t>
  </si>
  <si>
    <t xml:space="preserve">Biểu số 02
 TỔNG HỢP DỰ TOÁN ĐẦU TƯ </t>
  </si>
  <si>
    <r>
      <t xml:space="preserve"> </t>
    </r>
    <r>
      <rPr>
        <b/>
        <sz val="14"/>
        <color indexed="8"/>
        <rFont val="Times New Roman"/>
        <family val="1"/>
      </rPr>
      <t>Biểu số 03
  KẾ HOẠCH CHI PHÍ CHO 0,7 HA</t>
    </r>
  </si>
  <si>
    <t>(Kèm theo Quyết định số   3825 /QĐ-UBND ngày   31  tháng 10 năm 2016 của UBND tỉnh Quảng Nam)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</si>
</sst>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5">
    <font>
      <sz val="10"/>
      <name val="Arial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Arial"/>
      <family val="0"/>
    </font>
    <font>
      <vertAlign val="superscript"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3" fontId="19" fillId="0" borderId="16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vertical="center"/>
    </xf>
    <xf numFmtId="3" fontId="27" fillId="0" borderId="15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55.328\du%20toan%20tr%20tt%20thuy%20dien%20dakm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YDIEN"/>
      <sheetName val="KH CP ph"/>
      <sheetName val="TH PH"/>
    </sheetNames>
    <sheetDataSet>
      <sheetData sheetId="1">
        <row r="10">
          <cell r="M10">
            <v>3677700</v>
          </cell>
        </row>
        <row r="11">
          <cell r="M11">
            <v>2352000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3" sqref="A3:K3"/>
    </sheetView>
  </sheetViews>
  <sheetFormatPr defaultColWidth="9.140625" defaultRowHeight="12.75"/>
  <cols>
    <col min="2" max="2" width="23.57421875" style="0" customWidth="1"/>
    <col min="7" max="7" width="11.421875" style="0" customWidth="1"/>
    <col min="11" max="11" width="11.140625" style="0" customWidth="1"/>
    <col min="12" max="12" width="12.8515625" style="0" bestFit="1" customWidth="1"/>
    <col min="14" max="14" width="0" style="0" hidden="1" customWidth="1"/>
  </cols>
  <sheetData>
    <row r="1" spans="1:11" ht="17.25" customHeight="1">
      <c r="A1" s="104" t="s">
        <v>150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8.7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>
      <c r="A3" s="106" t="s">
        <v>153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6.5">
      <c r="A5" s="84" t="s">
        <v>1</v>
      </c>
      <c r="B5" s="84"/>
      <c r="C5" s="2"/>
      <c r="D5" s="2"/>
      <c r="E5" s="2"/>
      <c r="F5" s="2"/>
      <c r="G5" s="2"/>
      <c r="H5" s="2"/>
      <c r="I5" s="2"/>
      <c r="J5" s="85"/>
      <c r="K5" s="85"/>
      <c r="L5" s="86"/>
    </row>
    <row r="6" spans="1:12" ht="16.5">
      <c r="A6" s="2"/>
      <c r="B6" s="2" t="s">
        <v>2</v>
      </c>
      <c r="C6" s="2"/>
      <c r="D6" s="2"/>
      <c r="E6" s="2"/>
      <c r="F6" s="2"/>
      <c r="G6" s="2"/>
      <c r="H6" s="2"/>
      <c r="I6" s="2"/>
      <c r="J6" s="85"/>
      <c r="K6" s="85"/>
      <c r="L6" s="86"/>
    </row>
    <row r="7" spans="1:12" ht="16.5">
      <c r="A7" s="2" t="s">
        <v>3</v>
      </c>
      <c r="B7" s="2"/>
      <c r="C7" s="2"/>
      <c r="D7" s="2"/>
      <c r="E7" s="2"/>
      <c r="F7" s="2"/>
      <c r="G7" s="2"/>
      <c r="H7" s="2"/>
      <c r="I7" s="2"/>
      <c r="J7" s="85"/>
      <c r="K7" s="85"/>
      <c r="L7" s="86"/>
    </row>
    <row r="8" spans="1:12" ht="16.5">
      <c r="A8" s="2"/>
      <c r="B8" s="2" t="s">
        <v>4</v>
      </c>
      <c r="C8" s="2"/>
      <c r="D8" s="2"/>
      <c r="E8" s="2"/>
      <c r="F8" s="2"/>
      <c r="G8" s="2"/>
      <c r="H8" s="2"/>
      <c r="I8" s="2"/>
      <c r="J8" s="85"/>
      <c r="K8" s="85"/>
      <c r="L8" s="86"/>
    </row>
    <row r="9" spans="1:12" ht="16.5">
      <c r="A9" s="87" t="s">
        <v>5</v>
      </c>
      <c r="B9" s="2"/>
      <c r="C9" s="2"/>
      <c r="D9" s="2"/>
      <c r="E9" s="2"/>
      <c r="F9" s="2"/>
      <c r="G9" s="2"/>
      <c r="H9" s="2"/>
      <c r="I9" s="2"/>
      <c r="J9" s="85"/>
      <c r="K9" s="85"/>
      <c r="L9" s="86"/>
    </row>
    <row r="10" spans="1:12" ht="16.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85"/>
      <c r="K10" s="85"/>
      <c r="L10" s="86"/>
    </row>
    <row r="11" spans="1:12" ht="16.5">
      <c r="A11" s="2"/>
      <c r="B11" s="87" t="s">
        <v>7</v>
      </c>
      <c r="C11" s="2"/>
      <c r="D11" s="2"/>
      <c r="E11" s="2"/>
      <c r="F11" s="2"/>
      <c r="G11" s="2"/>
      <c r="H11" s="2"/>
      <c r="I11" s="2"/>
      <c r="J11" s="85"/>
      <c r="K11" s="85"/>
      <c r="L11" s="86"/>
    </row>
    <row r="12" spans="1:12" ht="19.5">
      <c r="A12" s="2"/>
      <c r="B12" s="87" t="s">
        <v>144</v>
      </c>
      <c r="C12" s="2"/>
      <c r="D12" s="2"/>
      <c r="E12" s="2"/>
      <c r="F12" s="2"/>
      <c r="G12" s="2"/>
      <c r="H12" s="2"/>
      <c r="I12" s="2"/>
      <c r="J12" s="85"/>
      <c r="K12" s="85"/>
      <c r="L12" s="86"/>
    </row>
    <row r="13" spans="1:12" ht="16.5">
      <c r="A13" s="2"/>
      <c r="B13" s="87" t="s">
        <v>8</v>
      </c>
      <c r="C13" s="2"/>
      <c r="D13" s="2"/>
      <c r="E13" s="2"/>
      <c r="F13" s="2"/>
      <c r="G13" s="2"/>
      <c r="H13" s="2"/>
      <c r="I13" s="2"/>
      <c r="J13" s="85"/>
      <c r="K13" s="98"/>
      <c r="L13" s="86"/>
    </row>
    <row r="14" spans="1:11" ht="18.75">
      <c r="A14" s="4" t="s">
        <v>9</v>
      </c>
      <c r="B14" s="4"/>
      <c r="C14" s="3"/>
      <c r="D14" s="3"/>
      <c r="E14" s="3"/>
      <c r="F14" s="3"/>
      <c r="G14" s="3"/>
      <c r="H14" s="5"/>
      <c r="I14" s="5"/>
      <c r="J14" s="1"/>
      <c r="K14" s="1"/>
    </row>
    <row r="15" spans="1:12" ht="42.75">
      <c r="A15" s="6" t="s">
        <v>10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14</v>
      </c>
      <c r="H15" s="7" t="s">
        <v>16</v>
      </c>
      <c r="I15" s="6" t="s">
        <v>17</v>
      </c>
      <c r="J15" s="8" t="s">
        <v>18</v>
      </c>
      <c r="K15" s="9" t="s">
        <v>19</v>
      </c>
      <c r="L15" s="9" t="s">
        <v>147</v>
      </c>
    </row>
    <row r="16" spans="1:14" ht="14.25">
      <c r="A16" s="10" t="s">
        <v>20</v>
      </c>
      <c r="B16" s="11" t="s">
        <v>21</v>
      </c>
      <c r="C16" s="10"/>
      <c r="D16" s="10"/>
      <c r="E16" s="10"/>
      <c r="F16" s="10"/>
      <c r="G16" s="10"/>
      <c r="H16" s="12"/>
      <c r="I16" s="11"/>
      <c r="J16" s="11"/>
      <c r="K16" s="13">
        <f>K17+K20</f>
        <v>22227273.524715986</v>
      </c>
      <c r="L16" s="13">
        <f>L17+L20</f>
        <v>15559091.467301192</v>
      </c>
      <c r="N16">
        <v>0.7</v>
      </c>
    </row>
    <row r="17" spans="1:12" ht="15">
      <c r="A17" s="14" t="s">
        <v>22</v>
      </c>
      <c r="B17" s="15" t="s">
        <v>23</v>
      </c>
      <c r="C17" s="16"/>
      <c r="D17" s="17"/>
      <c r="E17" s="17"/>
      <c r="F17" s="17"/>
      <c r="G17" s="17"/>
      <c r="H17" s="17"/>
      <c r="I17" s="18"/>
      <c r="J17" s="18"/>
      <c r="K17" s="19">
        <f>K18+K19</f>
        <v>5723800</v>
      </c>
      <c r="L17" s="19">
        <f>L18+L19</f>
        <v>4006660</v>
      </c>
    </row>
    <row r="18" spans="1:12" ht="15" customHeight="1">
      <c r="A18" s="20" t="s">
        <v>24</v>
      </c>
      <c r="B18" s="21" t="s">
        <v>25</v>
      </c>
      <c r="C18" s="20"/>
      <c r="D18" s="22">
        <v>1466</v>
      </c>
      <c r="E18" s="22" t="s">
        <v>26</v>
      </c>
      <c r="F18" s="22"/>
      <c r="G18" s="22"/>
      <c r="H18" s="22"/>
      <c r="I18" s="23"/>
      <c r="J18" s="24">
        <f>2000*1.15</f>
        <v>2300</v>
      </c>
      <c r="K18" s="25">
        <f>D18*J18</f>
        <v>3371800</v>
      </c>
      <c r="L18" s="25">
        <f>K18*N16</f>
        <v>2360260</v>
      </c>
    </row>
    <row r="19" spans="1:12" ht="15" customHeight="1">
      <c r="A19" s="20" t="s">
        <v>24</v>
      </c>
      <c r="B19" s="21" t="s">
        <v>27</v>
      </c>
      <c r="C19" s="20"/>
      <c r="D19" s="22">
        <v>147</v>
      </c>
      <c r="E19" s="22" t="s">
        <v>28</v>
      </c>
      <c r="F19" s="22">
        <v>0.1</v>
      </c>
      <c r="G19" s="22" t="s">
        <v>29</v>
      </c>
      <c r="H19" s="22"/>
      <c r="I19" s="23"/>
      <c r="J19" s="24">
        <v>16000</v>
      </c>
      <c r="K19" s="25">
        <f>D19*J19</f>
        <v>2352000</v>
      </c>
      <c r="L19" s="25">
        <f>K19*0.7</f>
        <v>1646400</v>
      </c>
    </row>
    <row r="20" spans="1:12" ht="15" customHeight="1">
      <c r="A20" s="14" t="s">
        <v>30</v>
      </c>
      <c r="B20" s="15" t="s">
        <v>31</v>
      </c>
      <c r="C20" s="16"/>
      <c r="D20" s="17"/>
      <c r="E20" s="17"/>
      <c r="F20" s="17"/>
      <c r="G20" s="17"/>
      <c r="H20" s="17"/>
      <c r="I20" s="18"/>
      <c r="J20" s="18"/>
      <c r="K20" s="19">
        <f>SUM(K21:K28)</f>
        <v>16503473.524715986</v>
      </c>
      <c r="L20" s="19">
        <f>SUM(L21:L28)</f>
        <v>11552431.467301192</v>
      </c>
    </row>
    <row r="21" spans="1:12" ht="15" customHeight="1">
      <c r="A21" s="26">
        <v>1</v>
      </c>
      <c r="B21" s="27" t="s">
        <v>32</v>
      </c>
      <c r="C21" s="26" t="s">
        <v>33</v>
      </c>
      <c r="D21" s="22">
        <v>8333</v>
      </c>
      <c r="E21" s="22" t="s">
        <v>34</v>
      </c>
      <c r="F21" s="22">
        <f>ROUND((257*0.92),0)</f>
        <v>236</v>
      </c>
      <c r="G21" s="22" t="s">
        <v>35</v>
      </c>
      <c r="H21" s="28">
        <f>D21/F21</f>
        <v>35.309322033898304</v>
      </c>
      <c r="I21" s="23">
        <v>2.56</v>
      </c>
      <c r="J21" s="25">
        <f>1150000*(2.56+0.7)/26</f>
        <v>144192.3076923077</v>
      </c>
      <c r="K21" s="25">
        <f>H21*J21</f>
        <v>5091332.627118643</v>
      </c>
      <c r="L21" s="25">
        <f aca="true" t="shared" si="0" ref="L21:L28">K21*$N$16</f>
        <v>3563932.83898305</v>
      </c>
    </row>
    <row r="22" spans="1:12" ht="15" customHeight="1">
      <c r="A22" s="26">
        <v>2</v>
      </c>
      <c r="B22" s="27" t="s">
        <v>36</v>
      </c>
      <c r="C22" s="26" t="s">
        <v>37</v>
      </c>
      <c r="D22" s="22">
        <v>1333</v>
      </c>
      <c r="E22" s="22" t="s">
        <v>38</v>
      </c>
      <c r="F22" s="22">
        <f>ROUND((91*0.92),0)</f>
        <v>84</v>
      </c>
      <c r="G22" s="22" t="s">
        <v>39</v>
      </c>
      <c r="H22" s="28">
        <f aca="true" t="shared" si="1" ref="H22:H28">D22/F22</f>
        <v>15.869047619047619</v>
      </c>
      <c r="I22" s="23">
        <v>2.56</v>
      </c>
      <c r="J22" s="25">
        <f aca="true" t="shared" si="2" ref="J22:J28">1150000*(2.56+0.7)/26</f>
        <v>144192.3076923077</v>
      </c>
      <c r="K22" s="25">
        <f>H22*J22</f>
        <v>2288194.597069597</v>
      </c>
      <c r="L22" s="25">
        <f t="shared" si="0"/>
        <v>1601736.2179487178</v>
      </c>
    </row>
    <row r="23" spans="1:12" ht="15">
      <c r="A23" s="26">
        <v>3</v>
      </c>
      <c r="B23" s="27" t="s">
        <v>40</v>
      </c>
      <c r="C23" s="26" t="s">
        <v>41</v>
      </c>
      <c r="D23" s="22">
        <v>1333</v>
      </c>
      <c r="E23" s="22" t="s">
        <v>42</v>
      </c>
      <c r="F23" s="22">
        <f>ROUND((55*0.92),0)</f>
        <v>51</v>
      </c>
      <c r="G23" s="22" t="s">
        <v>43</v>
      </c>
      <c r="H23" s="28">
        <f t="shared" si="1"/>
        <v>26.137254901960784</v>
      </c>
      <c r="I23" s="23">
        <v>2.56</v>
      </c>
      <c r="J23" s="25">
        <f t="shared" si="2"/>
        <v>144192.3076923077</v>
      </c>
      <c r="K23" s="25">
        <f>H23*J23</f>
        <v>3768791.101055807</v>
      </c>
      <c r="L23" s="25">
        <f t="shared" si="0"/>
        <v>2638153.7707390646</v>
      </c>
    </row>
    <row r="24" spans="1:12" ht="15">
      <c r="A24" s="26">
        <v>4</v>
      </c>
      <c r="B24" s="27" t="s">
        <v>44</v>
      </c>
      <c r="C24" s="26" t="s">
        <v>45</v>
      </c>
      <c r="D24" s="22">
        <v>1333</v>
      </c>
      <c r="E24" s="22" t="s">
        <v>42</v>
      </c>
      <c r="F24" s="22">
        <f>ROUND((144*0.92),0)</f>
        <v>132</v>
      </c>
      <c r="G24" s="22" t="s">
        <v>43</v>
      </c>
      <c r="H24" s="28">
        <f t="shared" si="1"/>
        <v>10.098484848484848</v>
      </c>
      <c r="I24" s="23">
        <v>2.56</v>
      </c>
      <c r="J24" s="25">
        <f t="shared" si="2"/>
        <v>144192.3076923077</v>
      </c>
      <c r="K24" s="25">
        <f>H24*J24</f>
        <v>1456123.8344988343</v>
      </c>
      <c r="L24" s="25">
        <f t="shared" si="0"/>
        <v>1019286.6841491839</v>
      </c>
    </row>
    <row r="25" spans="1:12" ht="15" customHeight="1">
      <c r="A25" s="26">
        <v>5</v>
      </c>
      <c r="B25" s="27" t="s">
        <v>142</v>
      </c>
      <c r="C25" s="26"/>
      <c r="D25" s="22">
        <v>1466</v>
      </c>
      <c r="E25" s="22" t="s">
        <v>26</v>
      </c>
      <c r="F25" s="22"/>
      <c r="G25" s="22"/>
      <c r="H25" s="28"/>
      <c r="I25" s="23"/>
      <c r="J25" s="25">
        <v>500</v>
      </c>
      <c r="K25" s="25">
        <f>D25*J25</f>
        <v>733000</v>
      </c>
      <c r="L25" s="25">
        <f t="shared" si="0"/>
        <v>513099.99999999994</v>
      </c>
    </row>
    <row r="26" spans="1:12" ht="18" customHeight="1">
      <c r="A26" s="26">
        <v>6</v>
      </c>
      <c r="B26" s="27" t="s">
        <v>46</v>
      </c>
      <c r="C26" s="26" t="s">
        <v>47</v>
      </c>
      <c r="D26" s="22">
        <v>1333</v>
      </c>
      <c r="E26" s="22" t="s">
        <v>26</v>
      </c>
      <c r="F26" s="22">
        <f>ROUND((79*0.92),0)</f>
        <v>73</v>
      </c>
      <c r="G26" s="22" t="s">
        <v>48</v>
      </c>
      <c r="H26" s="28">
        <f t="shared" si="1"/>
        <v>18.26027397260274</v>
      </c>
      <c r="I26" s="23">
        <v>2.56</v>
      </c>
      <c r="J26" s="25">
        <f t="shared" si="2"/>
        <v>144192.3076923077</v>
      </c>
      <c r="K26" s="25">
        <f>H26*J26</f>
        <v>2632991.043203372</v>
      </c>
      <c r="L26" s="25">
        <f t="shared" si="0"/>
        <v>1843093.7302423604</v>
      </c>
    </row>
    <row r="27" spans="1:12" ht="15" customHeight="1">
      <c r="A27" s="26">
        <v>7</v>
      </c>
      <c r="B27" s="27" t="s">
        <v>49</v>
      </c>
      <c r="C27" s="26" t="s">
        <v>50</v>
      </c>
      <c r="D27" s="22">
        <v>147</v>
      </c>
      <c r="E27" s="22" t="s">
        <v>28</v>
      </c>
      <c r="F27" s="22">
        <f>ROUND((147*0.92),0)</f>
        <v>135</v>
      </c>
      <c r="G27" s="22" t="s">
        <v>51</v>
      </c>
      <c r="H27" s="28">
        <f t="shared" si="1"/>
        <v>1.0888888888888888</v>
      </c>
      <c r="I27" s="23">
        <v>2.56</v>
      </c>
      <c r="J27" s="25">
        <f t="shared" si="2"/>
        <v>144192.3076923077</v>
      </c>
      <c r="K27" s="25">
        <f>H27*J27</f>
        <v>157009.4017094017</v>
      </c>
      <c r="L27" s="25">
        <f t="shared" si="0"/>
        <v>109906.58119658117</v>
      </c>
    </row>
    <row r="28" spans="1:12" ht="15" customHeight="1">
      <c r="A28" s="26">
        <v>8</v>
      </c>
      <c r="B28" s="27" t="s">
        <v>52</v>
      </c>
      <c r="C28" s="26" t="s">
        <v>53</v>
      </c>
      <c r="D28" s="22">
        <v>133</v>
      </c>
      <c r="E28" s="22" t="s">
        <v>26</v>
      </c>
      <c r="F28" s="22">
        <f>ROUND((55*0.92),0)</f>
        <v>51</v>
      </c>
      <c r="G28" s="22" t="s">
        <v>48</v>
      </c>
      <c r="H28" s="28">
        <f t="shared" si="1"/>
        <v>2.607843137254902</v>
      </c>
      <c r="I28" s="23">
        <v>2.56</v>
      </c>
      <c r="J28" s="25">
        <f t="shared" si="2"/>
        <v>144192.3076923077</v>
      </c>
      <c r="K28" s="25">
        <f>H28*J28</f>
        <v>376030.9200603318</v>
      </c>
      <c r="L28" s="25">
        <f t="shared" si="0"/>
        <v>263221.64404223225</v>
      </c>
    </row>
    <row r="29" spans="1:12" ht="15" customHeight="1">
      <c r="A29" s="29" t="s">
        <v>54</v>
      </c>
      <c r="B29" s="30" t="s">
        <v>55</v>
      </c>
      <c r="C29" s="31"/>
      <c r="D29" s="31"/>
      <c r="E29" s="31"/>
      <c r="F29" s="10"/>
      <c r="G29" s="10"/>
      <c r="H29" s="10"/>
      <c r="I29" s="23"/>
      <c r="J29" s="11"/>
      <c r="K29" s="13">
        <f>K30+K32</f>
        <v>8500849.431564622</v>
      </c>
      <c r="L29" s="13">
        <f>L30+L32</f>
        <v>5950594.602095235</v>
      </c>
    </row>
    <row r="30" spans="1:12" ht="15">
      <c r="A30" s="14" t="s">
        <v>22</v>
      </c>
      <c r="B30" s="15" t="s">
        <v>56</v>
      </c>
      <c r="C30" s="16"/>
      <c r="D30" s="17"/>
      <c r="E30" s="17"/>
      <c r="F30" s="17"/>
      <c r="G30" s="17"/>
      <c r="H30" s="17"/>
      <c r="I30" s="23"/>
      <c r="J30" s="18"/>
      <c r="K30" s="19">
        <f>SUM(K31:K31)</f>
        <v>305900</v>
      </c>
      <c r="L30" s="19">
        <f>SUM(L31:L31)</f>
        <v>214130</v>
      </c>
    </row>
    <row r="31" spans="1:12" ht="15" customHeight="1">
      <c r="A31" s="26">
        <v>1</v>
      </c>
      <c r="B31" s="27" t="s">
        <v>57</v>
      </c>
      <c r="C31" s="26"/>
      <c r="D31" s="22">
        <v>133</v>
      </c>
      <c r="E31" s="22" t="s">
        <v>26</v>
      </c>
      <c r="F31" s="22"/>
      <c r="G31" s="22"/>
      <c r="H31" s="22"/>
      <c r="I31" s="23"/>
      <c r="J31" s="24">
        <f>2000*1.15</f>
        <v>2300</v>
      </c>
      <c r="K31" s="25">
        <f>D31*J31</f>
        <v>305900</v>
      </c>
      <c r="L31" s="25">
        <f>K31*N16</f>
        <v>214130</v>
      </c>
    </row>
    <row r="32" spans="1:12" ht="15" customHeight="1">
      <c r="A32" s="14" t="s">
        <v>30</v>
      </c>
      <c r="B32" s="15" t="s">
        <v>58</v>
      </c>
      <c r="C32" s="16"/>
      <c r="D32" s="17"/>
      <c r="E32" s="17"/>
      <c r="F32" s="17"/>
      <c r="G32" s="17"/>
      <c r="H32" s="17"/>
      <c r="I32" s="23"/>
      <c r="J32" s="18"/>
      <c r="K32" s="19">
        <f>SUM(K33:K40)</f>
        <v>8194949.431564623</v>
      </c>
      <c r="L32" s="19">
        <f>SUM(L33:L40)</f>
        <v>5736464.602095235</v>
      </c>
    </row>
    <row r="33" spans="1:12" ht="15" customHeight="1">
      <c r="A33" s="26">
        <v>1</v>
      </c>
      <c r="B33" s="27" t="s">
        <v>59</v>
      </c>
      <c r="C33" s="26" t="s">
        <v>60</v>
      </c>
      <c r="D33" s="22">
        <v>8333</v>
      </c>
      <c r="E33" s="22" t="s">
        <v>34</v>
      </c>
      <c r="F33" s="22">
        <f>ROUND((557*0.92),0)</f>
        <v>512</v>
      </c>
      <c r="G33" s="22" t="s">
        <v>35</v>
      </c>
      <c r="H33" s="28">
        <f>D33/F33</f>
        <v>16.275390625</v>
      </c>
      <c r="I33" s="23">
        <v>2.56</v>
      </c>
      <c r="J33" s="25">
        <f>1150000*(2.56+0.7)/26</f>
        <v>144192.3076923077</v>
      </c>
      <c r="K33" s="25">
        <f>H33*J33</f>
        <v>2346786.1328125</v>
      </c>
      <c r="L33" s="25">
        <f>K33*$N$16</f>
        <v>1642750.29296875</v>
      </c>
    </row>
    <row r="34" spans="1:12" ht="15" customHeight="1">
      <c r="A34" s="26">
        <v>2</v>
      </c>
      <c r="B34" s="27" t="s">
        <v>61</v>
      </c>
      <c r="C34" s="26" t="s">
        <v>62</v>
      </c>
      <c r="D34" s="22">
        <v>8333</v>
      </c>
      <c r="E34" s="22" t="s">
        <v>34</v>
      </c>
      <c r="F34" s="22">
        <f>ROUND((845*0.92),0)</f>
        <v>777</v>
      </c>
      <c r="G34" s="22" t="s">
        <v>35</v>
      </c>
      <c r="H34" s="28">
        <f>D34/F34</f>
        <v>10.724581724581725</v>
      </c>
      <c r="I34" s="23">
        <v>2.56</v>
      </c>
      <c r="J34" s="25">
        <f>1150000*(2.56+0.7)/26</f>
        <v>144192.3076923077</v>
      </c>
      <c r="K34" s="25">
        <f>H34*J34</f>
        <v>1546402.187902188</v>
      </c>
      <c r="L34" s="25">
        <f aca="true" t="shared" si="3" ref="L34:L40">K34*$N$16</f>
        <v>1082481.5315315316</v>
      </c>
    </row>
    <row r="35" spans="1:12" ht="15" customHeight="1">
      <c r="A35" s="26">
        <v>3</v>
      </c>
      <c r="B35" s="32" t="s">
        <v>63</v>
      </c>
      <c r="C35" s="33" t="s">
        <v>37</v>
      </c>
      <c r="D35" s="22">
        <v>1333</v>
      </c>
      <c r="E35" s="22" t="s">
        <v>38</v>
      </c>
      <c r="F35" s="22">
        <f>ROUND((91*0.92),0)</f>
        <v>84</v>
      </c>
      <c r="G35" s="22" t="s">
        <v>39</v>
      </c>
      <c r="H35" s="28">
        <f>D35/F35</f>
        <v>15.869047619047619</v>
      </c>
      <c r="I35" s="23">
        <v>2.56</v>
      </c>
      <c r="J35" s="25">
        <f>1150000*(2.56+0.7)/26</f>
        <v>144192.3076923077</v>
      </c>
      <c r="K35" s="25">
        <f>H35*J35</f>
        <v>2288194.597069597</v>
      </c>
      <c r="L35" s="25">
        <f t="shared" si="3"/>
        <v>1601736.2179487178</v>
      </c>
    </row>
    <row r="36" spans="1:12" ht="15" customHeight="1">
      <c r="A36" s="26">
        <v>4</v>
      </c>
      <c r="B36" s="27" t="s">
        <v>64</v>
      </c>
      <c r="C36" s="26" t="s">
        <v>41</v>
      </c>
      <c r="D36" s="22">
        <v>133</v>
      </c>
      <c r="E36" s="22" t="s">
        <v>42</v>
      </c>
      <c r="F36" s="22">
        <f>ROUND((55*0.92),0)</f>
        <v>51</v>
      </c>
      <c r="G36" s="22" t="s">
        <v>43</v>
      </c>
      <c r="H36" s="28">
        <f>D36/F36</f>
        <v>2.607843137254902</v>
      </c>
      <c r="I36" s="23">
        <v>2.56</v>
      </c>
      <c r="J36" s="25">
        <f>1150000*(2.56+0.7)/26</f>
        <v>144192.3076923077</v>
      </c>
      <c r="K36" s="25">
        <f>H36*J36</f>
        <v>376030.9200603318</v>
      </c>
      <c r="L36" s="25">
        <f t="shared" si="3"/>
        <v>263221.64404223225</v>
      </c>
    </row>
    <row r="37" spans="1:12" ht="13.5">
      <c r="A37" s="26">
        <v>5</v>
      </c>
      <c r="B37" s="27" t="s">
        <v>44</v>
      </c>
      <c r="C37" s="26" t="s">
        <v>45</v>
      </c>
      <c r="D37" s="22">
        <v>133</v>
      </c>
      <c r="E37" s="22" t="s">
        <v>42</v>
      </c>
      <c r="F37" s="22">
        <f>ROUND((144*0.92),0)</f>
        <v>132</v>
      </c>
      <c r="G37" s="22" t="s">
        <v>43</v>
      </c>
      <c r="H37" s="28">
        <f>D37/F37</f>
        <v>1.0075757575757576</v>
      </c>
      <c r="I37" s="23">
        <v>2.56</v>
      </c>
      <c r="J37" s="25">
        <f>1150000*(2.56+0.7)/26</f>
        <v>144192.3076923077</v>
      </c>
      <c r="K37" s="25">
        <f>H37*J37</f>
        <v>145284.67365967366</v>
      </c>
      <c r="L37" s="25">
        <f t="shared" si="3"/>
        <v>101699.27156177156</v>
      </c>
    </row>
    <row r="38" spans="1:12" ht="13.5">
      <c r="A38" s="26">
        <v>6</v>
      </c>
      <c r="B38" s="27" t="s">
        <v>143</v>
      </c>
      <c r="C38" s="26"/>
      <c r="D38" s="22">
        <v>133</v>
      </c>
      <c r="E38" s="22" t="s">
        <v>26</v>
      </c>
      <c r="F38" s="22"/>
      <c r="G38" s="22"/>
      <c r="H38" s="28"/>
      <c r="I38" s="23"/>
      <c r="J38" s="25">
        <v>500</v>
      </c>
      <c r="K38" s="25">
        <f>D38*J38</f>
        <v>66500</v>
      </c>
      <c r="L38" s="25">
        <f t="shared" si="3"/>
        <v>46550</v>
      </c>
    </row>
    <row r="39" spans="1:12" ht="15" customHeight="1">
      <c r="A39" s="26">
        <v>7</v>
      </c>
      <c r="B39" s="27" t="s">
        <v>65</v>
      </c>
      <c r="C39" s="26" t="s">
        <v>47</v>
      </c>
      <c r="D39" s="22">
        <v>133</v>
      </c>
      <c r="E39" s="22" t="s">
        <v>26</v>
      </c>
      <c r="F39" s="22">
        <f>ROUND((55*0.92),0)</f>
        <v>51</v>
      </c>
      <c r="G39" s="22" t="s">
        <v>48</v>
      </c>
      <c r="H39" s="28">
        <f>D39/F39</f>
        <v>2.607843137254902</v>
      </c>
      <c r="I39" s="23">
        <v>2.56</v>
      </c>
      <c r="J39" s="25">
        <f>1150000*(2.56+0.7)/26</f>
        <v>144192.3076923077</v>
      </c>
      <c r="K39" s="25">
        <f>H39*J39</f>
        <v>376030.9200603318</v>
      </c>
      <c r="L39" s="25">
        <f t="shared" si="3"/>
        <v>263221.64404223225</v>
      </c>
    </row>
    <row r="40" spans="1:12" ht="13.5">
      <c r="A40" s="26">
        <v>8</v>
      </c>
      <c r="B40" s="27" t="s">
        <v>66</v>
      </c>
      <c r="C40" s="26" t="s">
        <v>67</v>
      </c>
      <c r="D40" s="22">
        <v>1</v>
      </c>
      <c r="E40" s="22" t="s">
        <v>68</v>
      </c>
      <c r="F40" s="22">
        <v>7.28</v>
      </c>
      <c r="G40" s="22" t="s">
        <v>69</v>
      </c>
      <c r="H40" s="22">
        <v>7.28</v>
      </c>
      <c r="I40" s="23">
        <v>2.56</v>
      </c>
      <c r="J40" s="25">
        <f>1150000*(2.56+0.7)/26</f>
        <v>144192.3076923077</v>
      </c>
      <c r="K40" s="25">
        <f>H40*J40</f>
        <v>1049720</v>
      </c>
      <c r="L40" s="25">
        <f t="shared" si="3"/>
        <v>734804</v>
      </c>
    </row>
    <row r="41" spans="1:12" ht="15" customHeight="1">
      <c r="A41" s="29" t="s">
        <v>70</v>
      </c>
      <c r="B41" s="30" t="s">
        <v>71</v>
      </c>
      <c r="C41" s="31"/>
      <c r="D41" s="31"/>
      <c r="E41" s="31"/>
      <c r="F41" s="10"/>
      <c r="G41" s="10"/>
      <c r="H41" s="10"/>
      <c r="I41" s="23"/>
      <c r="J41" s="11"/>
      <c r="K41" s="13">
        <f>K42+K43</f>
        <v>7231102.917784285</v>
      </c>
      <c r="L41" s="13">
        <f>L42+L43</f>
        <v>5061772.042448999</v>
      </c>
    </row>
    <row r="42" spans="1:12" ht="13.5" hidden="1">
      <c r="A42" s="14" t="s">
        <v>22</v>
      </c>
      <c r="B42" s="34" t="s">
        <v>23</v>
      </c>
      <c r="C42" s="35"/>
      <c r="D42" s="17"/>
      <c r="E42" s="17"/>
      <c r="F42" s="17"/>
      <c r="G42" s="17"/>
      <c r="H42" s="17"/>
      <c r="I42" s="23"/>
      <c r="J42" s="18"/>
      <c r="K42" s="19"/>
      <c r="L42" s="19"/>
    </row>
    <row r="43" spans="1:12" ht="15" customHeight="1">
      <c r="A43" s="14"/>
      <c r="B43" s="34" t="s">
        <v>72</v>
      </c>
      <c r="C43" s="35"/>
      <c r="D43" s="17"/>
      <c r="E43" s="17"/>
      <c r="F43" s="17"/>
      <c r="G43" s="17"/>
      <c r="H43" s="17"/>
      <c r="I43" s="23"/>
      <c r="J43" s="18"/>
      <c r="K43" s="19">
        <f>SUM(K44:K47)</f>
        <v>7231102.917784285</v>
      </c>
      <c r="L43" s="19">
        <f>SUM(L44:L47)</f>
        <v>5061772.042448999</v>
      </c>
    </row>
    <row r="44" spans="1:12" ht="15" customHeight="1">
      <c r="A44" s="22">
        <v>1</v>
      </c>
      <c r="B44" s="32" t="s">
        <v>73</v>
      </c>
      <c r="C44" s="26" t="s">
        <v>60</v>
      </c>
      <c r="D44" s="22">
        <v>8333</v>
      </c>
      <c r="E44" s="22" t="s">
        <v>34</v>
      </c>
      <c r="F44" s="22">
        <f>ROUND((557*0.92),0)</f>
        <v>512</v>
      </c>
      <c r="G44" s="22" t="s">
        <v>35</v>
      </c>
      <c r="H44" s="28">
        <f>D44/F44</f>
        <v>16.275390625</v>
      </c>
      <c r="I44" s="23">
        <v>2.56</v>
      </c>
      <c r="J44" s="25">
        <f>1150000*(2.56+0.7)/26</f>
        <v>144192.3076923077</v>
      </c>
      <c r="K44" s="25">
        <f>H44*J44</f>
        <v>2346786.1328125</v>
      </c>
      <c r="L44" s="25">
        <f>K44*$N$16</f>
        <v>1642750.29296875</v>
      </c>
    </row>
    <row r="45" spans="1:12" ht="15" customHeight="1">
      <c r="A45" s="22">
        <v>2</v>
      </c>
      <c r="B45" s="32" t="s">
        <v>74</v>
      </c>
      <c r="C45" s="26" t="s">
        <v>62</v>
      </c>
      <c r="D45" s="22">
        <v>8333</v>
      </c>
      <c r="E45" s="22" t="s">
        <v>34</v>
      </c>
      <c r="F45" s="22">
        <f>ROUND((845*0.92),0)</f>
        <v>777</v>
      </c>
      <c r="G45" s="22" t="s">
        <v>35</v>
      </c>
      <c r="H45" s="28">
        <f>D45/F45</f>
        <v>10.724581724581725</v>
      </c>
      <c r="I45" s="23">
        <v>2.56</v>
      </c>
      <c r="J45" s="25">
        <f>1150000*(2.56+0.7)/26</f>
        <v>144192.3076923077</v>
      </c>
      <c r="K45" s="25">
        <f>H45*J45</f>
        <v>1546402.187902188</v>
      </c>
      <c r="L45" s="25">
        <f>K45*$N$16</f>
        <v>1082481.5315315316</v>
      </c>
    </row>
    <row r="46" spans="1:12" ht="15" customHeight="1">
      <c r="A46" s="22">
        <v>3</v>
      </c>
      <c r="B46" s="32" t="s">
        <v>63</v>
      </c>
      <c r="C46" s="33" t="s">
        <v>37</v>
      </c>
      <c r="D46" s="22">
        <v>1333</v>
      </c>
      <c r="E46" s="22" t="s">
        <v>38</v>
      </c>
      <c r="F46" s="22">
        <f>ROUND((91*0.92),0)</f>
        <v>84</v>
      </c>
      <c r="G46" s="22" t="s">
        <v>39</v>
      </c>
      <c r="H46" s="28">
        <f>D46/F46</f>
        <v>15.869047619047619</v>
      </c>
      <c r="I46" s="23">
        <v>2.56</v>
      </c>
      <c r="J46" s="25">
        <f>1150000*(2.56+0.7)/26</f>
        <v>144192.3076923077</v>
      </c>
      <c r="K46" s="25">
        <f>H46*J46</f>
        <v>2288194.597069597</v>
      </c>
      <c r="L46" s="25">
        <f>K46*$N$16</f>
        <v>1601736.2179487178</v>
      </c>
    </row>
    <row r="47" spans="1:12" ht="13.5">
      <c r="A47" s="22">
        <v>4</v>
      </c>
      <c r="B47" s="32" t="s">
        <v>66</v>
      </c>
      <c r="C47" s="26" t="s">
        <v>67</v>
      </c>
      <c r="D47" s="22">
        <v>1</v>
      </c>
      <c r="E47" s="22" t="s">
        <v>68</v>
      </c>
      <c r="F47" s="22">
        <v>7.28</v>
      </c>
      <c r="G47" s="22" t="s">
        <v>69</v>
      </c>
      <c r="H47" s="22">
        <v>7.28</v>
      </c>
      <c r="I47" s="23">
        <v>2.56</v>
      </c>
      <c r="J47" s="25">
        <f>1150000*(2.56+0.7)/26</f>
        <v>144192.3076923077</v>
      </c>
      <c r="K47" s="25">
        <f>H47*J47</f>
        <v>1049720</v>
      </c>
      <c r="L47" s="25">
        <f>K47*$N$16</f>
        <v>734804</v>
      </c>
    </row>
    <row r="48" spans="1:12" ht="15" customHeight="1">
      <c r="A48" s="29" t="s">
        <v>75</v>
      </c>
      <c r="B48" s="30" t="s">
        <v>76</v>
      </c>
      <c r="C48" s="31"/>
      <c r="D48" s="31"/>
      <c r="E48" s="31"/>
      <c r="F48" s="10"/>
      <c r="G48" s="10"/>
      <c r="H48" s="10"/>
      <c r="I48" s="23"/>
      <c r="J48" s="11"/>
      <c r="K48" s="13">
        <f>K49+K50</f>
        <v>7008015.14943727</v>
      </c>
      <c r="L48" s="13">
        <f>L49+L50</f>
        <v>4905610.604606089</v>
      </c>
    </row>
    <row r="49" spans="1:12" ht="13.5" hidden="1">
      <c r="A49" s="14" t="s">
        <v>22</v>
      </c>
      <c r="B49" s="34" t="s">
        <v>23</v>
      </c>
      <c r="C49" s="35"/>
      <c r="D49" s="17"/>
      <c r="E49" s="17"/>
      <c r="F49" s="17"/>
      <c r="G49" s="17"/>
      <c r="H49" s="17"/>
      <c r="I49" s="23"/>
      <c r="J49" s="19"/>
      <c r="K49" s="19"/>
      <c r="L49" s="19"/>
    </row>
    <row r="50" spans="1:12" ht="15" customHeight="1">
      <c r="A50" s="14"/>
      <c r="B50" s="34" t="s">
        <v>72</v>
      </c>
      <c r="C50" s="35"/>
      <c r="D50" s="17"/>
      <c r="E50" s="17"/>
      <c r="F50" s="17"/>
      <c r="G50" s="17"/>
      <c r="H50" s="17"/>
      <c r="I50" s="23"/>
      <c r="J50" s="18"/>
      <c r="K50" s="19">
        <f>SUM(K51:K54)</f>
        <v>7008015.14943727</v>
      </c>
      <c r="L50" s="19">
        <f>SUM(L51:L54)</f>
        <v>4905610.604606089</v>
      </c>
    </row>
    <row r="51" spans="1:12" ht="15" customHeight="1">
      <c r="A51" s="22">
        <v>1</v>
      </c>
      <c r="B51" s="32" t="s">
        <v>73</v>
      </c>
      <c r="C51" s="33" t="s">
        <v>77</v>
      </c>
      <c r="D51" s="22">
        <v>8333</v>
      </c>
      <c r="E51" s="22" t="s">
        <v>34</v>
      </c>
      <c r="F51" s="22">
        <f>ROUND((699*0.92),0)</f>
        <v>643</v>
      </c>
      <c r="G51" s="22" t="s">
        <v>35</v>
      </c>
      <c r="H51" s="28">
        <f>D51/F51</f>
        <v>12.959564541213064</v>
      </c>
      <c r="I51" s="23">
        <v>2.56</v>
      </c>
      <c r="J51" s="25">
        <f>1150000*(2.56+0.7)/26</f>
        <v>144192.3076923077</v>
      </c>
      <c r="K51" s="25">
        <f>H51*J51</f>
        <v>1868669.5178849145</v>
      </c>
      <c r="L51" s="25">
        <f>K51*$N$16</f>
        <v>1308068.66251944</v>
      </c>
    </row>
    <row r="52" spans="1:12" ht="15" customHeight="1">
      <c r="A52" s="22">
        <v>2</v>
      </c>
      <c r="B52" s="32" t="s">
        <v>74</v>
      </c>
      <c r="C52" s="33" t="s">
        <v>78</v>
      </c>
      <c r="D52" s="22">
        <v>8333</v>
      </c>
      <c r="E52" s="22" t="s">
        <v>34</v>
      </c>
      <c r="F52" s="22">
        <f>ROUND((725*0.92),0)</f>
        <v>667</v>
      </c>
      <c r="G52" s="22" t="s">
        <v>35</v>
      </c>
      <c r="H52" s="28">
        <f>D52/F52</f>
        <v>12.493253373313344</v>
      </c>
      <c r="I52" s="23">
        <v>2.56</v>
      </c>
      <c r="J52" s="25">
        <f aca="true" t="shared" si="4" ref="J52:J70">1150000*(2.56+0.7)/26</f>
        <v>144192.3076923077</v>
      </c>
      <c r="K52" s="25">
        <f>H52*J52</f>
        <v>1801431.0344827587</v>
      </c>
      <c r="L52" s="25">
        <f>K52*$N$16</f>
        <v>1261001.7241379311</v>
      </c>
    </row>
    <row r="53" spans="1:12" ht="15" customHeight="1">
      <c r="A53" s="22">
        <v>3</v>
      </c>
      <c r="B53" s="32" t="s">
        <v>63</v>
      </c>
      <c r="C53" s="33" t="s">
        <v>37</v>
      </c>
      <c r="D53" s="22">
        <v>1333</v>
      </c>
      <c r="E53" s="22" t="s">
        <v>38</v>
      </c>
      <c r="F53" s="22">
        <f>ROUND((91*0.92),0)</f>
        <v>84</v>
      </c>
      <c r="G53" s="22" t="s">
        <v>39</v>
      </c>
      <c r="H53" s="28">
        <f>D53/F53</f>
        <v>15.869047619047619</v>
      </c>
      <c r="I53" s="23">
        <v>2.56</v>
      </c>
      <c r="J53" s="25">
        <f t="shared" si="4"/>
        <v>144192.3076923077</v>
      </c>
      <c r="K53" s="25">
        <f>H53*J53</f>
        <v>2288194.597069597</v>
      </c>
      <c r="L53" s="25">
        <f>K53*$N$16</f>
        <v>1601736.2179487178</v>
      </c>
    </row>
    <row r="54" spans="1:12" ht="13.5">
      <c r="A54" s="22">
        <v>4</v>
      </c>
      <c r="B54" s="32" t="s">
        <v>66</v>
      </c>
      <c r="C54" s="26" t="s">
        <v>67</v>
      </c>
      <c r="D54" s="22">
        <v>1</v>
      </c>
      <c r="E54" s="22" t="s">
        <v>68</v>
      </c>
      <c r="F54" s="22">
        <v>7.28</v>
      </c>
      <c r="G54" s="22" t="s">
        <v>69</v>
      </c>
      <c r="H54" s="22">
        <v>7.28</v>
      </c>
      <c r="I54" s="23">
        <v>2.56</v>
      </c>
      <c r="J54" s="25">
        <f t="shared" si="4"/>
        <v>144192.3076923077</v>
      </c>
      <c r="K54" s="25">
        <f>H54*J54</f>
        <v>1049720</v>
      </c>
      <c r="L54" s="25">
        <f>K54*$N$16</f>
        <v>734804</v>
      </c>
    </row>
    <row r="55" spans="1:12" ht="15" customHeight="1">
      <c r="A55" s="29" t="s">
        <v>79</v>
      </c>
      <c r="B55" s="30" t="s">
        <v>80</v>
      </c>
      <c r="C55" s="31"/>
      <c r="D55" s="31"/>
      <c r="E55" s="31"/>
      <c r="F55" s="10"/>
      <c r="G55" s="10"/>
      <c r="H55" s="10"/>
      <c r="I55" s="23"/>
      <c r="J55" s="25"/>
      <c r="K55" s="13">
        <f>K56+K57</f>
        <v>5139345.631552355</v>
      </c>
      <c r="L55" s="13">
        <f>L56+L57</f>
        <v>3597541.942086649</v>
      </c>
    </row>
    <row r="56" spans="1:12" ht="15" customHeight="1" hidden="1">
      <c r="A56" s="14" t="s">
        <v>22</v>
      </c>
      <c r="B56" s="34" t="s">
        <v>23</v>
      </c>
      <c r="C56" s="35"/>
      <c r="D56" s="17"/>
      <c r="E56" s="17"/>
      <c r="F56" s="17"/>
      <c r="G56" s="17"/>
      <c r="H56" s="17"/>
      <c r="I56" s="23"/>
      <c r="J56" s="25"/>
      <c r="K56" s="19"/>
      <c r="L56" s="19"/>
    </row>
    <row r="57" spans="1:12" ht="15" customHeight="1">
      <c r="A57" s="14"/>
      <c r="B57" s="34" t="s">
        <v>72</v>
      </c>
      <c r="C57" s="35"/>
      <c r="D57" s="17"/>
      <c r="E57" s="17"/>
      <c r="F57" s="17"/>
      <c r="G57" s="17"/>
      <c r="H57" s="17"/>
      <c r="I57" s="23"/>
      <c r="J57" s="25"/>
      <c r="K57" s="19">
        <f>SUM(K58:K60)</f>
        <v>5139345.631552355</v>
      </c>
      <c r="L57" s="19">
        <f>SUM(L58:L60)</f>
        <v>3597541.942086649</v>
      </c>
    </row>
    <row r="58" spans="1:12" ht="15" customHeight="1">
      <c r="A58" s="22">
        <v>1</v>
      </c>
      <c r="B58" s="32" t="s">
        <v>32</v>
      </c>
      <c r="C58" s="33" t="s">
        <v>78</v>
      </c>
      <c r="D58" s="22">
        <v>8333</v>
      </c>
      <c r="E58" s="22" t="s">
        <v>34</v>
      </c>
      <c r="F58" s="22">
        <f>ROUND((725*0.92),0)</f>
        <v>667</v>
      </c>
      <c r="G58" s="22" t="s">
        <v>35</v>
      </c>
      <c r="H58" s="28">
        <f>D58/F58</f>
        <v>12.493253373313344</v>
      </c>
      <c r="I58" s="23">
        <v>2.56</v>
      </c>
      <c r="J58" s="25">
        <f t="shared" si="4"/>
        <v>144192.3076923077</v>
      </c>
      <c r="K58" s="25">
        <f>H58*J58</f>
        <v>1801431.0344827587</v>
      </c>
      <c r="L58" s="25">
        <f>K58*$N$16</f>
        <v>1261001.7241379311</v>
      </c>
    </row>
    <row r="59" spans="1:12" ht="15" customHeight="1">
      <c r="A59" s="22">
        <v>2</v>
      </c>
      <c r="B59" s="36" t="s">
        <v>63</v>
      </c>
      <c r="C59" s="37" t="s">
        <v>37</v>
      </c>
      <c r="D59" s="38">
        <v>1333</v>
      </c>
      <c r="E59" s="38" t="s">
        <v>38</v>
      </c>
      <c r="F59" s="38">
        <f>ROUND((91*0.92),0)</f>
        <v>84</v>
      </c>
      <c r="G59" s="38" t="s">
        <v>39</v>
      </c>
      <c r="H59" s="28">
        <f>D59/F59</f>
        <v>15.869047619047619</v>
      </c>
      <c r="I59" s="23">
        <v>2.56</v>
      </c>
      <c r="J59" s="25">
        <f t="shared" si="4"/>
        <v>144192.3076923077</v>
      </c>
      <c r="K59" s="25">
        <f>H59*J59</f>
        <v>2288194.597069597</v>
      </c>
      <c r="L59" s="25">
        <f>K59*$N$16</f>
        <v>1601736.2179487178</v>
      </c>
    </row>
    <row r="60" spans="1:12" ht="15" customHeight="1">
      <c r="A60" s="22">
        <v>3</v>
      </c>
      <c r="B60" s="32" t="s">
        <v>66</v>
      </c>
      <c r="C60" s="26" t="s">
        <v>67</v>
      </c>
      <c r="D60" s="22">
        <v>1</v>
      </c>
      <c r="E60" s="22" t="s">
        <v>68</v>
      </c>
      <c r="F60" s="22">
        <v>7.28</v>
      </c>
      <c r="G60" s="22" t="s">
        <v>69</v>
      </c>
      <c r="H60" s="22">
        <v>7.28</v>
      </c>
      <c r="I60" s="23">
        <v>2.56</v>
      </c>
      <c r="J60" s="25">
        <f t="shared" si="4"/>
        <v>144192.3076923077</v>
      </c>
      <c r="K60" s="25">
        <f>H60*J60</f>
        <v>1049720</v>
      </c>
      <c r="L60" s="25">
        <f>K60*$N$16</f>
        <v>734804</v>
      </c>
    </row>
    <row r="61" spans="1:12" ht="15" customHeight="1">
      <c r="A61" s="29" t="s">
        <v>81</v>
      </c>
      <c r="B61" s="30" t="s">
        <v>82</v>
      </c>
      <c r="C61" s="31"/>
      <c r="D61" s="31"/>
      <c r="E61" s="31"/>
      <c r="F61" s="10"/>
      <c r="G61" s="10"/>
      <c r="H61" s="10"/>
      <c r="I61" s="23"/>
      <c r="J61" s="25"/>
      <c r="K61" s="13">
        <f>SUM(K62:K62)</f>
        <v>1049720</v>
      </c>
      <c r="L61" s="13">
        <f>SUM(L62:L62)</f>
        <v>734804</v>
      </c>
    </row>
    <row r="62" spans="1:12" ht="15" customHeight="1">
      <c r="A62" s="22">
        <v>1</v>
      </c>
      <c r="B62" s="39" t="s">
        <v>83</v>
      </c>
      <c r="C62" s="26" t="s">
        <v>67</v>
      </c>
      <c r="D62" s="22">
        <v>1</v>
      </c>
      <c r="E62" s="22" t="s">
        <v>68</v>
      </c>
      <c r="F62" s="22">
        <v>7.28</v>
      </c>
      <c r="G62" s="22" t="s">
        <v>69</v>
      </c>
      <c r="H62" s="22">
        <v>7.28</v>
      </c>
      <c r="I62" s="23">
        <v>2.56</v>
      </c>
      <c r="J62" s="25">
        <f t="shared" si="4"/>
        <v>144192.3076923077</v>
      </c>
      <c r="K62" s="25">
        <f>H62*J62</f>
        <v>1049720</v>
      </c>
      <c r="L62" s="25">
        <f>K62*0.7</f>
        <v>734804</v>
      </c>
    </row>
    <row r="63" spans="1:12" ht="15" customHeight="1">
      <c r="A63" s="10" t="s">
        <v>84</v>
      </c>
      <c r="B63" s="30" t="s">
        <v>85</v>
      </c>
      <c r="C63" s="31"/>
      <c r="D63" s="40"/>
      <c r="E63" s="40"/>
      <c r="F63" s="10"/>
      <c r="G63" s="10"/>
      <c r="H63" s="41"/>
      <c r="I63" s="23"/>
      <c r="J63" s="25"/>
      <c r="K63" s="13">
        <f>SUM(K64:K64)</f>
        <v>1049720</v>
      </c>
      <c r="L63" s="13">
        <f>SUM(L64:L64)</f>
        <v>734804</v>
      </c>
    </row>
    <row r="64" spans="1:12" ht="15" customHeight="1">
      <c r="A64" s="22">
        <v>1</v>
      </c>
      <c r="B64" s="39" t="s">
        <v>83</v>
      </c>
      <c r="C64" s="26" t="s">
        <v>67</v>
      </c>
      <c r="D64" s="22">
        <v>1</v>
      </c>
      <c r="E64" s="22" t="s">
        <v>68</v>
      </c>
      <c r="F64" s="22">
        <v>7.28</v>
      </c>
      <c r="G64" s="22" t="s">
        <v>69</v>
      </c>
      <c r="H64" s="22">
        <v>7.28</v>
      </c>
      <c r="I64" s="23">
        <v>2.56</v>
      </c>
      <c r="J64" s="25">
        <f t="shared" si="4"/>
        <v>144192.3076923077</v>
      </c>
      <c r="K64" s="25">
        <f>H64*J64</f>
        <v>1049720</v>
      </c>
      <c r="L64" s="25">
        <f>K64*0.7</f>
        <v>734804</v>
      </c>
    </row>
    <row r="65" spans="1:12" ht="15" customHeight="1">
      <c r="A65" s="10" t="s">
        <v>86</v>
      </c>
      <c r="B65" s="30" t="s">
        <v>87</v>
      </c>
      <c r="C65" s="31"/>
      <c r="D65" s="40"/>
      <c r="E65" s="40"/>
      <c r="F65" s="10"/>
      <c r="G65" s="10"/>
      <c r="H65" s="41"/>
      <c r="I65" s="23"/>
      <c r="J65" s="25"/>
      <c r="K65" s="13">
        <f>SUM(K66:K66)</f>
        <v>1049720</v>
      </c>
      <c r="L65" s="13">
        <f>SUM(L66:L66)</f>
        <v>734804</v>
      </c>
    </row>
    <row r="66" spans="1:12" ht="15" customHeight="1">
      <c r="A66" s="22">
        <v>1</v>
      </c>
      <c r="B66" s="39" t="s">
        <v>83</v>
      </c>
      <c r="C66" s="26" t="s">
        <v>67</v>
      </c>
      <c r="D66" s="22">
        <v>1</v>
      </c>
      <c r="E66" s="22" t="s">
        <v>68</v>
      </c>
      <c r="F66" s="22">
        <v>7.28</v>
      </c>
      <c r="G66" s="22" t="s">
        <v>69</v>
      </c>
      <c r="H66" s="22">
        <v>7.28</v>
      </c>
      <c r="I66" s="23">
        <v>2.56</v>
      </c>
      <c r="J66" s="25">
        <f t="shared" si="4"/>
        <v>144192.3076923077</v>
      </c>
      <c r="K66" s="25">
        <f>H66*J66</f>
        <v>1049720</v>
      </c>
      <c r="L66" s="25">
        <f>K66*0.7</f>
        <v>734804</v>
      </c>
    </row>
    <row r="67" spans="1:12" ht="15" customHeight="1">
      <c r="A67" s="10" t="s">
        <v>88</v>
      </c>
      <c r="B67" s="30" t="s">
        <v>89</v>
      </c>
      <c r="C67" s="31"/>
      <c r="D67" s="40"/>
      <c r="E67" s="40"/>
      <c r="F67" s="10"/>
      <c r="G67" s="10"/>
      <c r="H67" s="41"/>
      <c r="I67" s="23"/>
      <c r="J67" s="25"/>
      <c r="K67" s="13">
        <f>SUM(K68:K68)</f>
        <v>1049720</v>
      </c>
      <c r="L67" s="13">
        <f>SUM(L68:L68)</f>
        <v>734804</v>
      </c>
    </row>
    <row r="68" spans="1:12" ht="15" customHeight="1">
      <c r="A68" s="22">
        <v>1</v>
      </c>
      <c r="B68" s="39" t="s">
        <v>83</v>
      </c>
      <c r="C68" s="26" t="s">
        <v>67</v>
      </c>
      <c r="D68" s="22">
        <v>1</v>
      </c>
      <c r="E68" s="22" t="s">
        <v>68</v>
      </c>
      <c r="F68" s="22">
        <v>7.28</v>
      </c>
      <c r="G68" s="22" t="s">
        <v>69</v>
      </c>
      <c r="H68" s="22">
        <v>7.28</v>
      </c>
      <c r="I68" s="23">
        <v>2.56</v>
      </c>
      <c r="J68" s="25">
        <f t="shared" si="4"/>
        <v>144192.3076923077</v>
      </c>
      <c r="K68" s="25">
        <f>H68*J68</f>
        <v>1049720</v>
      </c>
      <c r="L68" s="25">
        <f>K68*0.7</f>
        <v>734804</v>
      </c>
    </row>
    <row r="69" spans="1:12" ht="15" customHeight="1">
      <c r="A69" s="10" t="s">
        <v>90</v>
      </c>
      <c r="B69" s="30" t="s">
        <v>91</v>
      </c>
      <c r="C69" s="31"/>
      <c r="D69" s="40"/>
      <c r="E69" s="40"/>
      <c r="F69" s="10"/>
      <c r="G69" s="10"/>
      <c r="H69" s="41"/>
      <c r="I69" s="23"/>
      <c r="J69" s="25"/>
      <c r="K69" s="13">
        <f>K70</f>
        <v>1049720</v>
      </c>
      <c r="L69" s="13">
        <f>L70</f>
        <v>734804</v>
      </c>
    </row>
    <row r="70" spans="1:12" ht="15" customHeight="1">
      <c r="A70" s="22">
        <v>1</v>
      </c>
      <c r="B70" s="39" t="s">
        <v>83</v>
      </c>
      <c r="C70" s="26" t="s">
        <v>67</v>
      </c>
      <c r="D70" s="22">
        <v>1</v>
      </c>
      <c r="E70" s="22" t="s">
        <v>68</v>
      </c>
      <c r="F70" s="22">
        <v>7.28</v>
      </c>
      <c r="G70" s="22" t="s">
        <v>69</v>
      </c>
      <c r="H70" s="22">
        <v>7.28</v>
      </c>
      <c r="I70" s="23">
        <v>2.56</v>
      </c>
      <c r="J70" s="25">
        <f t="shared" si="4"/>
        <v>144192.3076923077</v>
      </c>
      <c r="K70" s="25">
        <f>H70*J70</f>
        <v>1049720</v>
      </c>
      <c r="L70" s="25">
        <f>K70*0.7</f>
        <v>734804</v>
      </c>
    </row>
    <row r="71" spans="1:12" ht="15" customHeight="1">
      <c r="A71" s="42"/>
      <c r="B71" s="43" t="s">
        <v>92</v>
      </c>
      <c r="C71" s="43"/>
      <c r="D71" s="44"/>
      <c r="E71" s="44"/>
      <c r="F71" s="42"/>
      <c r="G71" s="42"/>
      <c r="H71" s="45"/>
      <c r="I71" s="42"/>
      <c r="J71" s="45"/>
      <c r="K71" s="44">
        <f>K16+K29+K41+K48+K55+K61+K63+K65+K67+K69</f>
        <v>55355186.65505452</v>
      </c>
      <c r="L71" s="99">
        <f>L16+L29+L41+L48+L55+L61+L63+L65+L67+L69</f>
        <v>38748630.65853816</v>
      </c>
    </row>
    <row r="72" ht="12.75">
      <c r="K72" s="90"/>
    </row>
    <row r="74" ht="12.75">
      <c r="D74" s="88"/>
    </row>
    <row r="76" ht="12.75">
      <c r="H76" s="89"/>
    </row>
    <row r="78" ht="12.75">
      <c r="H78" s="89"/>
    </row>
  </sheetData>
  <sheetProtection/>
  <mergeCells count="3">
    <mergeCell ref="A1:K1"/>
    <mergeCell ref="A2:K2"/>
    <mergeCell ref="A3:K3"/>
  </mergeCells>
  <printOptions/>
  <pageMargins left="0.55" right="0.2" top="0.24" bottom="0.24" header="0.2" footer="0.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52.140625" style="0" customWidth="1"/>
    <col min="3" max="4" width="15.140625" style="0" customWidth="1"/>
    <col min="5" max="6" width="10.140625" style="0" bestFit="1" customWidth="1"/>
  </cols>
  <sheetData>
    <row r="1" spans="1:3" ht="35.25" customHeight="1">
      <c r="A1" s="107" t="s">
        <v>151</v>
      </c>
      <c r="B1" s="108"/>
      <c r="C1" s="108"/>
    </row>
    <row r="2" spans="1:4" ht="15">
      <c r="A2" s="109" t="str">
        <f>Sheet1!A3</f>
        <v>(Kèm theo Quyết định số   3825 /QĐ-UBND ngày   31  tháng 10 năm 2016 của UBND tỉnh Quảng Nam)</v>
      </c>
      <c r="B2" s="109"/>
      <c r="C2" s="109"/>
      <c r="D2" s="109"/>
    </row>
    <row r="3" spans="1:4" ht="14.25" thickBot="1">
      <c r="A3" s="103"/>
      <c r="B3" s="103"/>
      <c r="C3" s="103"/>
      <c r="D3" s="103"/>
    </row>
    <row r="4" spans="1:4" ht="35.25" thickTop="1">
      <c r="A4" s="72" t="s">
        <v>10</v>
      </c>
      <c r="B4" s="73" t="s">
        <v>11</v>
      </c>
      <c r="C4" s="91" t="s">
        <v>145</v>
      </c>
      <c r="D4" s="74" t="s">
        <v>146</v>
      </c>
    </row>
    <row r="5" spans="1:4" ht="17.25">
      <c r="A5" s="75" t="s">
        <v>22</v>
      </c>
      <c r="B5" s="76" t="s">
        <v>110</v>
      </c>
      <c r="C5" s="92">
        <f>SUM(C6:C7)</f>
        <v>6029700</v>
      </c>
      <c r="D5" s="95">
        <f>D6+D7</f>
        <v>4220790</v>
      </c>
    </row>
    <row r="6" spans="1:4" ht="18">
      <c r="A6" s="77">
        <v>1</v>
      </c>
      <c r="B6" s="78" t="s">
        <v>111</v>
      </c>
      <c r="C6" s="93">
        <f>'[1]KH CP ph'!M10</f>
        <v>3677700</v>
      </c>
      <c r="D6" s="96">
        <f>C6*0.7</f>
        <v>2574390</v>
      </c>
    </row>
    <row r="7" spans="1:4" ht="18">
      <c r="A7" s="77">
        <v>2</v>
      </c>
      <c r="B7" s="78" t="s">
        <v>112</v>
      </c>
      <c r="C7" s="93">
        <f>'[1]KH CP ph'!M11</f>
        <v>2352000</v>
      </c>
      <c r="D7" s="96">
        <f>C7*0.7</f>
        <v>1646400</v>
      </c>
    </row>
    <row r="8" spans="1:6" ht="17.25">
      <c r="A8" s="75" t="s">
        <v>30</v>
      </c>
      <c r="B8" s="76" t="s">
        <v>113</v>
      </c>
      <c r="C8" s="92">
        <f>SUM(C9:C18)</f>
        <v>49325487</v>
      </c>
      <c r="D8" s="95">
        <f>SUM(D9:D18)</f>
        <v>34527840.89999999</v>
      </c>
      <c r="F8" s="90"/>
    </row>
    <row r="9" spans="1:4" ht="18">
      <c r="A9" s="77">
        <v>1</v>
      </c>
      <c r="B9" s="78" t="s">
        <v>114</v>
      </c>
      <c r="C9" s="93">
        <v>16503474</v>
      </c>
      <c r="D9" s="96">
        <f>C9*0.7</f>
        <v>11552431.799999999</v>
      </c>
    </row>
    <row r="10" spans="1:4" ht="18">
      <c r="A10" s="77">
        <v>2</v>
      </c>
      <c r="B10" s="78" t="s">
        <v>115</v>
      </c>
      <c r="C10" s="93">
        <v>8194949</v>
      </c>
      <c r="D10" s="96">
        <f aca="true" t="shared" si="0" ref="D10:D18">C10*0.7</f>
        <v>5736464.3</v>
      </c>
    </row>
    <row r="11" spans="1:4" ht="18">
      <c r="A11" s="77">
        <v>3</v>
      </c>
      <c r="B11" s="78" t="s">
        <v>116</v>
      </c>
      <c r="C11" s="93">
        <v>7231103</v>
      </c>
      <c r="D11" s="96">
        <f t="shared" si="0"/>
        <v>5061772.1</v>
      </c>
    </row>
    <row r="12" spans="1:4" ht="18">
      <c r="A12" s="77">
        <v>4</v>
      </c>
      <c r="B12" s="78" t="s">
        <v>117</v>
      </c>
      <c r="C12" s="93">
        <v>7008015</v>
      </c>
      <c r="D12" s="96">
        <f t="shared" si="0"/>
        <v>4905610.5</v>
      </c>
    </row>
    <row r="13" spans="1:4" ht="18">
      <c r="A13" s="77">
        <v>5</v>
      </c>
      <c r="B13" s="78" t="s">
        <v>118</v>
      </c>
      <c r="C13" s="93">
        <v>5139346</v>
      </c>
      <c r="D13" s="96">
        <f t="shared" si="0"/>
        <v>3597542.1999999997</v>
      </c>
    </row>
    <row r="14" spans="1:4" ht="18">
      <c r="A14" s="77">
        <v>6</v>
      </c>
      <c r="B14" s="78" t="s">
        <v>119</v>
      </c>
      <c r="C14" s="93">
        <v>1049720</v>
      </c>
      <c r="D14" s="96">
        <f t="shared" si="0"/>
        <v>734804</v>
      </c>
    </row>
    <row r="15" spans="1:4" ht="18">
      <c r="A15" s="77">
        <v>7</v>
      </c>
      <c r="B15" s="78" t="s">
        <v>120</v>
      </c>
      <c r="C15" s="93">
        <v>1049720</v>
      </c>
      <c r="D15" s="96">
        <f t="shared" si="0"/>
        <v>734804</v>
      </c>
    </row>
    <row r="16" spans="1:4" ht="18">
      <c r="A16" s="77">
        <v>8</v>
      </c>
      <c r="B16" s="78" t="s">
        <v>121</v>
      </c>
      <c r="C16" s="93">
        <v>1049720</v>
      </c>
      <c r="D16" s="96">
        <f t="shared" si="0"/>
        <v>734804</v>
      </c>
    </row>
    <row r="17" spans="1:4" ht="18">
      <c r="A17" s="77">
        <v>9</v>
      </c>
      <c r="B17" s="78" t="s">
        <v>122</v>
      </c>
      <c r="C17" s="93">
        <v>1049720</v>
      </c>
      <c r="D17" s="96">
        <f t="shared" si="0"/>
        <v>734804</v>
      </c>
    </row>
    <row r="18" spans="1:4" ht="18">
      <c r="A18" s="77">
        <v>10</v>
      </c>
      <c r="B18" s="78" t="s">
        <v>123</v>
      </c>
      <c r="C18" s="93">
        <v>1049720</v>
      </c>
      <c r="D18" s="96">
        <f t="shared" si="0"/>
        <v>734804</v>
      </c>
    </row>
    <row r="19" spans="1:5" ht="17.25">
      <c r="A19" s="75" t="s">
        <v>124</v>
      </c>
      <c r="B19" s="76" t="s">
        <v>125</v>
      </c>
      <c r="C19" s="92">
        <f>C5+C8</f>
        <v>55355187</v>
      </c>
      <c r="D19" s="95">
        <f aca="true" t="shared" si="1" ref="D19:D24">C19*0.7</f>
        <v>38748630.9</v>
      </c>
      <c r="E19" s="90"/>
    </row>
    <row r="20" spans="1:5" ht="17.25">
      <c r="A20" s="75" t="s">
        <v>126</v>
      </c>
      <c r="B20" s="79" t="s">
        <v>127</v>
      </c>
      <c r="C20" s="92">
        <f>C19*5%</f>
        <v>2767759.35</v>
      </c>
      <c r="D20" s="95">
        <f t="shared" si="1"/>
        <v>1937431.545</v>
      </c>
      <c r="E20" s="90"/>
    </row>
    <row r="21" spans="1:4" ht="34.5">
      <c r="A21" s="75" t="s">
        <v>128</v>
      </c>
      <c r="B21" s="79" t="s">
        <v>129</v>
      </c>
      <c r="C21" s="100">
        <f>(C19+C20)*5.5%</f>
        <v>3196762.04925</v>
      </c>
      <c r="D21" s="101">
        <f t="shared" si="1"/>
        <v>2237733.434475</v>
      </c>
    </row>
    <row r="22" spans="1:4" ht="17.25">
      <c r="A22" s="75" t="s">
        <v>130</v>
      </c>
      <c r="B22" s="79" t="s">
        <v>131</v>
      </c>
      <c r="C22" s="92">
        <f>(C19+C20+C21)*5%</f>
        <v>3065985.4199625</v>
      </c>
      <c r="D22" s="95">
        <f t="shared" si="1"/>
        <v>2146189.79397375</v>
      </c>
    </row>
    <row r="23" spans="1:4" ht="17.25">
      <c r="A23" s="80" t="s">
        <v>134</v>
      </c>
      <c r="B23" s="81" t="s">
        <v>141</v>
      </c>
      <c r="C23" s="92">
        <f>(C19+C20+C21+C22)*2.125%</f>
        <v>1368195.9936582658</v>
      </c>
      <c r="D23" s="95">
        <f t="shared" si="1"/>
        <v>957737.1955607859</v>
      </c>
    </row>
    <row r="24" spans="1:4" ht="34.5">
      <c r="A24" s="80" t="s">
        <v>136</v>
      </c>
      <c r="B24" s="81" t="s">
        <v>135</v>
      </c>
      <c r="C24" s="100">
        <f>(C19+C20+C21+C22)*7.875%</f>
        <v>5070373.388262984</v>
      </c>
      <c r="D24" s="101">
        <f t="shared" si="1"/>
        <v>3549261.3717840887</v>
      </c>
    </row>
    <row r="25" spans="1:4" ht="17.25">
      <c r="A25" s="80" t="s">
        <v>132</v>
      </c>
      <c r="B25" s="81" t="s">
        <v>137</v>
      </c>
      <c r="C25" s="92">
        <v>9536044</v>
      </c>
      <c r="D25" s="95">
        <v>6650918</v>
      </c>
    </row>
    <row r="26" spans="1:4" ht="18" thickBot="1">
      <c r="A26" s="82"/>
      <c r="B26" s="83" t="s">
        <v>92</v>
      </c>
      <c r="C26" s="94">
        <f>C19+C20+C21+C22+C23+C24+C25</f>
        <v>80360307.20113376</v>
      </c>
      <c r="D26" s="97">
        <f>SUM(D19:D25)</f>
        <v>56227902.24079362</v>
      </c>
    </row>
    <row r="27" spans="1:6" ht="18" thickBot="1" thickTop="1">
      <c r="A27" s="82"/>
      <c r="B27" s="83" t="s">
        <v>149</v>
      </c>
      <c r="C27" s="94">
        <f>ROUND(C26,-3)</f>
        <v>80360000</v>
      </c>
      <c r="D27" s="102">
        <f>ROUND(D26,-3)</f>
        <v>56228000</v>
      </c>
      <c r="F27" s="90"/>
    </row>
    <row r="28" ht="13.5" thickTop="1">
      <c r="C28" s="90"/>
    </row>
  </sheetData>
  <sheetProtection/>
  <mergeCells count="2">
    <mergeCell ref="A1:C1"/>
    <mergeCell ref="A2:D2"/>
  </mergeCells>
  <printOptions/>
  <pageMargins left="0.75" right="0.6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5.8515625" style="0" customWidth="1"/>
    <col min="2" max="2" width="22.8515625" style="0" customWidth="1"/>
  </cols>
  <sheetData>
    <row r="1" spans="1:13" ht="36" customHeight="1">
      <c r="A1" s="112" t="s">
        <v>152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>
      <c r="A2" s="106" t="str">
        <f>Sheet1!A3</f>
        <v>(Kèm theo Quyết định số   3825 /QĐ-UBND ngày   31  tháng 10 năm 2016 của UBND tỉnh Quảng Nam)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114" t="s">
        <v>93</v>
      </c>
      <c r="M3" s="114"/>
    </row>
    <row r="4" spans="1:13" ht="13.5" thickTop="1">
      <c r="A4" s="48" t="s">
        <v>10</v>
      </c>
      <c r="B4" s="49" t="s">
        <v>94</v>
      </c>
      <c r="C4" s="50" t="s">
        <v>95</v>
      </c>
      <c r="D4" s="50" t="s">
        <v>96</v>
      </c>
      <c r="E4" s="50" t="s">
        <v>97</v>
      </c>
      <c r="F4" s="50" t="s">
        <v>98</v>
      </c>
      <c r="G4" s="50" t="s">
        <v>99</v>
      </c>
      <c r="H4" s="50" t="s">
        <v>100</v>
      </c>
      <c r="I4" s="50" t="s">
        <v>101</v>
      </c>
      <c r="J4" s="50" t="s">
        <v>102</v>
      </c>
      <c r="K4" s="50" t="s">
        <v>103</v>
      </c>
      <c r="L4" s="50" t="s">
        <v>104</v>
      </c>
      <c r="M4" s="51" t="s">
        <v>92</v>
      </c>
    </row>
    <row r="5" spans="1:13" ht="15" customHeight="1">
      <c r="A5" s="52" t="s">
        <v>105</v>
      </c>
      <c r="B5" s="53" t="s">
        <v>106</v>
      </c>
      <c r="C5" s="54">
        <v>0</v>
      </c>
      <c r="D5" s="54">
        <v>1</v>
      </c>
      <c r="E5" s="54">
        <v>2</v>
      </c>
      <c r="F5" s="54">
        <v>3</v>
      </c>
      <c r="G5" s="54">
        <v>4</v>
      </c>
      <c r="H5" s="54">
        <v>5</v>
      </c>
      <c r="I5" s="54">
        <v>6</v>
      </c>
      <c r="J5" s="54">
        <v>7</v>
      </c>
      <c r="K5" s="54">
        <v>8</v>
      </c>
      <c r="L5" s="54">
        <v>9</v>
      </c>
      <c r="M5" s="55"/>
    </row>
    <row r="6" spans="1:13" ht="15" customHeight="1">
      <c r="A6" s="52"/>
      <c r="B6" s="53" t="s">
        <v>107</v>
      </c>
      <c r="C6" s="56">
        <v>0.05</v>
      </c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15" customHeight="1">
      <c r="A7" s="52"/>
      <c r="B7" s="53" t="s">
        <v>108</v>
      </c>
      <c r="C7" s="56">
        <v>0.05</v>
      </c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ht="15" customHeight="1">
      <c r="A8" s="52"/>
      <c r="B8" s="53" t="s">
        <v>109</v>
      </c>
      <c r="C8" s="54">
        <f>(1+$C$6)^C5</f>
        <v>1</v>
      </c>
      <c r="D8" s="54">
        <f aca="true" t="shared" si="0" ref="D8:L8">(1+$C$6)^D5</f>
        <v>1.05</v>
      </c>
      <c r="E8" s="57">
        <f t="shared" si="0"/>
        <v>1.1025</v>
      </c>
      <c r="F8" s="57">
        <f t="shared" si="0"/>
        <v>1.1576250000000001</v>
      </c>
      <c r="G8" s="57">
        <f t="shared" si="0"/>
        <v>1.21550625</v>
      </c>
      <c r="H8" s="57">
        <f t="shared" si="0"/>
        <v>1.2762815625000001</v>
      </c>
      <c r="I8" s="57">
        <f t="shared" si="0"/>
        <v>1.340095640625</v>
      </c>
      <c r="J8" s="57">
        <f t="shared" si="0"/>
        <v>1.4071004226562502</v>
      </c>
      <c r="K8" s="57">
        <f t="shared" si="0"/>
        <v>1.4774554437890626</v>
      </c>
      <c r="L8" s="57">
        <f t="shared" si="0"/>
        <v>1.5513282159785158</v>
      </c>
      <c r="M8" s="55"/>
    </row>
    <row r="9" spans="1:13" ht="15" customHeight="1">
      <c r="A9" s="58" t="s">
        <v>22</v>
      </c>
      <c r="B9" s="59" t="s">
        <v>110</v>
      </c>
      <c r="C9" s="60">
        <f>SUM(C10:C11)</f>
        <v>4006660</v>
      </c>
      <c r="D9" s="60">
        <f aca="true" t="shared" si="1" ref="D9:L9">SUM(D10:D11)</f>
        <v>214130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  <c r="I9" s="60">
        <f t="shared" si="1"/>
        <v>0</v>
      </c>
      <c r="J9" s="60">
        <f t="shared" si="1"/>
        <v>0</v>
      </c>
      <c r="K9" s="60">
        <f t="shared" si="1"/>
        <v>0</v>
      </c>
      <c r="L9" s="60">
        <f t="shared" si="1"/>
        <v>0</v>
      </c>
      <c r="M9" s="61">
        <f>SUM(C9:L9)</f>
        <v>4220790</v>
      </c>
    </row>
    <row r="10" spans="1:13" ht="12.75">
      <c r="A10" s="52">
        <v>1</v>
      </c>
      <c r="B10" s="53" t="s">
        <v>111</v>
      </c>
      <c r="C10" s="62">
        <f>3371800*0.7</f>
        <v>2360260</v>
      </c>
      <c r="D10" s="62">
        <f>305900*0.7</f>
        <v>214130</v>
      </c>
      <c r="E10" s="63"/>
      <c r="F10" s="63"/>
      <c r="G10" s="63"/>
      <c r="H10" s="63"/>
      <c r="I10" s="63"/>
      <c r="J10" s="63"/>
      <c r="K10" s="63"/>
      <c r="L10" s="63"/>
      <c r="M10" s="64">
        <f aca="true" t="shared" si="2" ref="M10:M22">SUM(C10:L10)</f>
        <v>2574390</v>
      </c>
    </row>
    <row r="11" spans="1:13" ht="12.75">
      <c r="A11" s="52">
        <v>2</v>
      </c>
      <c r="B11" s="53" t="s">
        <v>112</v>
      </c>
      <c r="C11" s="62">
        <f>2352000*0.7</f>
        <v>1646400</v>
      </c>
      <c r="D11" s="62"/>
      <c r="E11" s="62"/>
      <c r="F11" s="62"/>
      <c r="G11" s="62"/>
      <c r="H11" s="62"/>
      <c r="I11" s="62"/>
      <c r="J11" s="62"/>
      <c r="K11" s="62"/>
      <c r="L11" s="62"/>
      <c r="M11" s="64">
        <f t="shared" si="2"/>
        <v>1646400</v>
      </c>
    </row>
    <row r="12" spans="1:13" ht="15" customHeight="1">
      <c r="A12" s="65" t="s">
        <v>30</v>
      </c>
      <c r="B12" s="66" t="s">
        <v>113</v>
      </c>
      <c r="C12" s="60">
        <f>SUM(C13:C22)</f>
        <v>11552431.799999999</v>
      </c>
      <c r="D12" s="60">
        <f aca="true" t="shared" si="3" ref="D12:K12">SUM(D13:D22)</f>
        <v>5736464.3</v>
      </c>
      <c r="E12" s="60">
        <f t="shared" si="3"/>
        <v>5061772.1</v>
      </c>
      <c r="F12" s="60">
        <f t="shared" si="3"/>
        <v>4905610.5</v>
      </c>
      <c r="G12" s="60">
        <f t="shared" si="3"/>
        <v>3597542.1999999997</v>
      </c>
      <c r="H12" s="60">
        <f t="shared" si="3"/>
        <v>734804</v>
      </c>
      <c r="I12" s="60">
        <f t="shared" si="3"/>
        <v>734804</v>
      </c>
      <c r="J12" s="60">
        <f t="shared" si="3"/>
        <v>734804</v>
      </c>
      <c r="K12" s="60">
        <f t="shared" si="3"/>
        <v>734804</v>
      </c>
      <c r="L12" s="60">
        <f>L22</f>
        <v>734804</v>
      </c>
      <c r="M12" s="61">
        <f t="shared" si="2"/>
        <v>34527840.89999999</v>
      </c>
    </row>
    <row r="13" spans="1:13" ht="24" customHeight="1">
      <c r="A13" s="52">
        <v>1</v>
      </c>
      <c r="B13" s="53" t="s">
        <v>114</v>
      </c>
      <c r="C13" s="62">
        <f>16503474*0.7</f>
        <v>11552431.799999999</v>
      </c>
      <c r="D13" s="63"/>
      <c r="E13" s="63"/>
      <c r="F13" s="63"/>
      <c r="G13" s="63"/>
      <c r="H13" s="63"/>
      <c r="I13" s="63"/>
      <c r="J13" s="63"/>
      <c r="K13" s="63"/>
      <c r="L13" s="63"/>
      <c r="M13" s="64">
        <f t="shared" si="2"/>
        <v>11552431.799999999</v>
      </c>
    </row>
    <row r="14" spans="1:13" ht="15" customHeight="1">
      <c r="A14" s="52">
        <v>2</v>
      </c>
      <c r="B14" s="53" t="s">
        <v>115</v>
      </c>
      <c r="C14" s="63"/>
      <c r="D14" s="62">
        <f>8194949*0.7</f>
        <v>5736464.3</v>
      </c>
      <c r="E14" s="63"/>
      <c r="F14" s="63"/>
      <c r="G14" s="63"/>
      <c r="H14" s="63"/>
      <c r="I14" s="63"/>
      <c r="J14" s="63"/>
      <c r="K14" s="63"/>
      <c r="L14" s="63"/>
      <c r="M14" s="64">
        <f t="shared" si="2"/>
        <v>5736464.3</v>
      </c>
    </row>
    <row r="15" spans="1:13" ht="15" customHeight="1">
      <c r="A15" s="52">
        <v>3</v>
      </c>
      <c r="B15" s="53" t="s">
        <v>116</v>
      </c>
      <c r="C15" s="63"/>
      <c r="D15" s="63"/>
      <c r="E15" s="62">
        <f>7231103*0.7</f>
        <v>5061772.1</v>
      </c>
      <c r="F15" s="63"/>
      <c r="G15" s="63"/>
      <c r="H15" s="63"/>
      <c r="I15" s="63"/>
      <c r="J15" s="63"/>
      <c r="K15" s="63"/>
      <c r="L15" s="63"/>
      <c r="M15" s="64">
        <f t="shared" si="2"/>
        <v>5061772.1</v>
      </c>
    </row>
    <row r="16" spans="1:13" ht="15" customHeight="1">
      <c r="A16" s="52">
        <v>4</v>
      </c>
      <c r="B16" s="53" t="s">
        <v>117</v>
      </c>
      <c r="C16" s="63"/>
      <c r="D16" s="63"/>
      <c r="E16" s="63"/>
      <c r="F16" s="67">
        <f>7008015*0.7</f>
        <v>4905610.5</v>
      </c>
      <c r="G16" s="63"/>
      <c r="H16" s="63"/>
      <c r="I16" s="63"/>
      <c r="J16" s="63"/>
      <c r="K16" s="63"/>
      <c r="L16" s="63"/>
      <c r="M16" s="64">
        <f t="shared" si="2"/>
        <v>4905610.5</v>
      </c>
    </row>
    <row r="17" spans="1:13" ht="15" customHeight="1">
      <c r="A17" s="52">
        <v>5</v>
      </c>
      <c r="B17" s="53" t="s">
        <v>118</v>
      </c>
      <c r="C17" s="63"/>
      <c r="D17" s="63"/>
      <c r="E17" s="63"/>
      <c r="F17" s="63"/>
      <c r="G17" s="62">
        <f>5139346*0.7</f>
        <v>3597542.1999999997</v>
      </c>
      <c r="H17" s="63"/>
      <c r="I17" s="63"/>
      <c r="J17" s="63"/>
      <c r="K17" s="63"/>
      <c r="L17" s="63"/>
      <c r="M17" s="64">
        <f t="shared" si="2"/>
        <v>3597542.1999999997</v>
      </c>
    </row>
    <row r="18" spans="1:13" ht="15" customHeight="1">
      <c r="A18" s="52">
        <v>6</v>
      </c>
      <c r="B18" s="53" t="s">
        <v>119</v>
      </c>
      <c r="C18" s="63"/>
      <c r="D18" s="63"/>
      <c r="E18" s="63"/>
      <c r="F18" s="63"/>
      <c r="G18" s="63"/>
      <c r="H18" s="62">
        <f>1049720*0.7</f>
        <v>734804</v>
      </c>
      <c r="I18" s="63"/>
      <c r="J18" s="63"/>
      <c r="K18" s="63"/>
      <c r="L18" s="63"/>
      <c r="M18" s="64">
        <f t="shared" si="2"/>
        <v>734804</v>
      </c>
    </row>
    <row r="19" spans="1:13" ht="15" customHeight="1">
      <c r="A19" s="52">
        <v>7</v>
      </c>
      <c r="B19" s="53" t="s">
        <v>120</v>
      </c>
      <c r="C19" s="63"/>
      <c r="D19" s="63"/>
      <c r="E19" s="63"/>
      <c r="F19" s="63"/>
      <c r="G19" s="63"/>
      <c r="H19" s="63"/>
      <c r="I19" s="62">
        <f>1049720*0.7</f>
        <v>734804</v>
      </c>
      <c r="J19" s="63"/>
      <c r="K19" s="63"/>
      <c r="L19" s="63"/>
      <c r="M19" s="64">
        <f t="shared" si="2"/>
        <v>734804</v>
      </c>
    </row>
    <row r="20" spans="1:13" ht="15" customHeight="1">
      <c r="A20" s="52">
        <v>8</v>
      </c>
      <c r="B20" s="53" t="s">
        <v>121</v>
      </c>
      <c r="C20" s="63"/>
      <c r="D20" s="63"/>
      <c r="E20" s="63"/>
      <c r="F20" s="63"/>
      <c r="G20" s="63"/>
      <c r="H20" s="63"/>
      <c r="I20" s="63"/>
      <c r="J20" s="62">
        <f>1049720*0.7</f>
        <v>734804</v>
      </c>
      <c r="K20" s="63"/>
      <c r="L20" s="63"/>
      <c r="M20" s="64">
        <f t="shared" si="2"/>
        <v>734804</v>
      </c>
    </row>
    <row r="21" spans="1:13" ht="15" customHeight="1">
      <c r="A21" s="52">
        <v>9</v>
      </c>
      <c r="B21" s="53" t="s">
        <v>122</v>
      </c>
      <c r="C21" s="63"/>
      <c r="D21" s="63"/>
      <c r="E21" s="63"/>
      <c r="F21" s="63"/>
      <c r="G21" s="63"/>
      <c r="H21" s="63"/>
      <c r="I21" s="63"/>
      <c r="J21" s="63"/>
      <c r="K21" s="62">
        <f>1049720*0.7</f>
        <v>734804</v>
      </c>
      <c r="L21" s="62"/>
      <c r="M21" s="64">
        <f t="shared" si="2"/>
        <v>734804</v>
      </c>
    </row>
    <row r="22" spans="1:13" ht="15" customHeight="1">
      <c r="A22" s="52">
        <v>10</v>
      </c>
      <c r="B22" s="53" t="s">
        <v>123</v>
      </c>
      <c r="C22" s="63"/>
      <c r="D22" s="63"/>
      <c r="E22" s="63"/>
      <c r="F22" s="63"/>
      <c r="G22" s="63"/>
      <c r="H22" s="63"/>
      <c r="I22" s="63"/>
      <c r="J22" s="63"/>
      <c r="K22" s="63"/>
      <c r="L22" s="62">
        <f>1049720*0.7</f>
        <v>734804</v>
      </c>
      <c r="M22" s="64">
        <f t="shared" si="2"/>
        <v>734804</v>
      </c>
    </row>
    <row r="23" spans="1:13" ht="15" customHeight="1">
      <c r="A23" s="65" t="s">
        <v>124</v>
      </c>
      <c r="B23" s="66" t="s">
        <v>125</v>
      </c>
      <c r="C23" s="60">
        <f>C9+C12</f>
        <v>15559091.799999999</v>
      </c>
      <c r="D23" s="60">
        <f>D9+D12</f>
        <v>5950594.3</v>
      </c>
      <c r="E23" s="60">
        <f aca="true" t="shared" si="4" ref="E23:L23">E9+E12</f>
        <v>5061772.1</v>
      </c>
      <c r="F23" s="60">
        <f t="shared" si="4"/>
        <v>4905610.5</v>
      </c>
      <c r="G23" s="60">
        <f t="shared" si="4"/>
        <v>3597542.1999999997</v>
      </c>
      <c r="H23" s="60">
        <f t="shared" si="4"/>
        <v>734804</v>
      </c>
      <c r="I23" s="60">
        <f t="shared" si="4"/>
        <v>734804</v>
      </c>
      <c r="J23" s="60">
        <f t="shared" si="4"/>
        <v>734804</v>
      </c>
      <c r="K23" s="60">
        <f t="shared" si="4"/>
        <v>734804</v>
      </c>
      <c r="L23" s="60">
        <f t="shared" si="4"/>
        <v>734804</v>
      </c>
      <c r="M23" s="61">
        <f aca="true" t="shared" si="5" ref="M23:M29">SUM(C23:L23)</f>
        <v>38748630.9</v>
      </c>
    </row>
    <row r="24" spans="1:13" ht="15" customHeight="1">
      <c r="A24" s="65" t="s">
        <v>126</v>
      </c>
      <c r="B24" s="66" t="s">
        <v>127</v>
      </c>
      <c r="C24" s="60">
        <f>C23*5%</f>
        <v>777954.59</v>
      </c>
      <c r="D24" s="60">
        <f aca="true" t="shared" si="6" ref="D24:L24">D23*5%</f>
        <v>297529.715</v>
      </c>
      <c r="E24" s="60">
        <f t="shared" si="6"/>
        <v>253088.60499999998</v>
      </c>
      <c r="F24" s="60">
        <f t="shared" si="6"/>
        <v>245280.52500000002</v>
      </c>
      <c r="G24" s="60">
        <f t="shared" si="6"/>
        <v>179877.11</v>
      </c>
      <c r="H24" s="60">
        <f t="shared" si="6"/>
        <v>36740.200000000004</v>
      </c>
      <c r="I24" s="60">
        <f t="shared" si="6"/>
        <v>36740.200000000004</v>
      </c>
      <c r="J24" s="60">
        <f t="shared" si="6"/>
        <v>36740.200000000004</v>
      </c>
      <c r="K24" s="60">
        <f t="shared" si="6"/>
        <v>36740.200000000004</v>
      </c>
      <c r="L24" s="60">
        <f t="shared" si="6"/>
        <v>36740.200000000004</v>
      </c>
      <c r="M24" s="61">
        <f t="shared" si="5"/>
        <v>1937431.5449999997</v>
      </c>
    </row>
    <row r="25" spans="1:13" ht="24" customHeight="1">
      <c r="A25" s="65" t="s">
        <v>128</v>
      </c>
      <c r="B25" s="66" t="s">
        <v>129</v>
      </c>
      <c r="C25" s="60">
        <f>(C23+C24)*5.5%</f>
        <v>898537.5514499999</v>
      </c>
      <c r="D25" s="60">
        <f aca="true" t="shared" si="7" ref="D25:L25">(D23+D24)*5.5%</f>
        <v>343646.820825</v>
      </c>
      <c r="E25" s="60">
        <f t="shared" si="7"/>
        <v>292317.338775</v>
      </c>
      <c r="F25" s="60">
        <f t="shared" si="7"/>
        <v>283299.006375</v>
      </c>
      <c r="G25" s="60">
        <f t="shared" si="7"/>
        <v>207758.06204999998</v>
      </c>
      <c r="H25" s="60">
        <f t="shared" si="7"/>
        <v>42434.931</v>
      </c>
      <c r="I25" s="60">
        <f t="shared" si="7"/>
        <v>42434.931</v>
      </c>
      <c r="J25" s="60">
        <f t="shared" si="7"/>
        <v>42434.931</v>
      </c>
      <c r="K25" s="60">
        <f t="shared" si="7"/>
        <v>42434.931</v>
      </c>
      <c r="L25" s="60">
        <f t="shared" si="7"/>
        <v>42434.931</v>
      </c>
      <c r="M25" s="61">
        <f t="shared" si="5"/>
        <v>2237733.4344749996</v>
      </c>
    </row>
    <row r="26" spans="1:13" ht="24" customHeight="1">
      <c r="A26" s="65" t="s">
        <v>130</v>
      </c>
      <c r="B26" s="66" t="s">
        <v>131</v>
      </c>
      <c r="C26" s="60">
        <f>(C23+C24+C25)*5%</f>
        <v>861779.1970725</v>
      </c>
      <c r="D26" s="60">
        <f aca="true" t="shared" si="8" ref="D26:L26">(D23+D24+D25)*5%</f>
        <v>329588.54179125</v>
      </c>
      <c r="E26" s="60">
        <f t="shared" si="8"/>
        <v>280358.90218875</v>
      </c>
      <c r="F26" s="60">
        <f t="shared" si="8"/>
        <v>271709.50156875</v>
      </c>
      <c r="G26" s="60">
        <f t="shared" si="8"/>
        <v>199258.86860249998</v>
      </c>
      <c r="H26" s="60">
        <f t="shared" si="8"/>
        <v>40698.95655</v>
      </c>
      <c r="I26" s="60">
        <f t="shared" si="8"/>
        <v>40698.95655</v>
      </c>
      <c r="J26" s="60">
        <f t="shared" si="8"/>
        <v>40698.95655</v>
      </c>
      <c r="K26" s="60">
        <f t="shared" si="8"/>
        <v>40698.95655</v>
      </c>
      <c r="L26" s="60">
        <f t="shared" si="8"/>
        <v>40698.95655</v>
      </c>
      <c r="M26" s="61">
        <f t="shared" si="5"/>
        <v>2146189.7939737504</v>
      </c>
    </row>
    <row r="27" spans="1:13" ht="24" customHeight="1">
      <c r="A27" s="65" t="s">
        <v>132</v>
      </c>
      <c r="B27" s="66" t="s">
        <v>133</v>
      </c>
      <c r="C27" s="60">
        <f>2.125%*(C23+C24+C25+C26)</f>
        <v>384568.96669360314</v>
      </c>
      <c r="D27" s="60">
        <f aca="true" t="shared" si="9" ref="D27:M27">2.125%*(D23+D24+D25+D26)</f>
        <v>147078.88677434533</v>
      </c>
      <c r="E27" s="60">
        <f t="shared" si="9"/>
        <v>125110.16010172969</v>
      </c>
      <c r="F27" s="60">
        <f t="shared" si="9"/>
        <v>121250.3650750547</v>
      </c>
      <c r="G27" s="60">
        <f t="shared" si="9"/>
        <v>88919.27011386561</v>
      </c>
      <c r="H27" s="60">
        <f t="shared" si="9"/>
        <v>18161.9093604375</v>
      </c>
      <c r="I27" s="60">
        <f t="shared" si="9"/>
        <v>18161.9093604375</v>
      </c>
      <c r="J27" s="60">
        <f t="shared" si="9"/>
        <v>18161.9093604375</v>
      </c>
      <c r="K27" s="60">
        <f t="shared" si="9"/>
        <v>18161.9093604375</v>
      </c>
      <c r="L27" s="60">
        <f t="shared" si="9"/>
        <v>18161.9093604375</v>
      </c>
      <c r="M27" s="61">
        <f t="shared" si="9"/>
        <v>957737.1955607859</v>
      </c>
    </row>
    <row r="28" spans="1:13" ht="24" customHeight="1">
      <c r="A28" s="65" t="s">
        <v>134</v>
      </c>
      <c r="B28" s="66" t="s">
        <v>135</v>
      </c>
      <c r="C28" s="60">
        <f>7.875%*(C23+C24+C25+C26)</f>
        <v>1425167.3471586467</v>
      </c>
      <c r="D28" s="60">
        <f aca="true" t="shared" si="10" ref="D28:M28">7.875%*(D23+D24+D25+D26)</f>
        <v>545057.0509872797</v>
      </c>
      <c r="E28" s="60">
        <f t="shared" si="10"/>
        <v>463643.5344946453</v>
      </c>
      <c r="F28" s="60">
        <f t="shared" si="10"/>
        <v>449339.5882193203</v>
      </c>
      <c r="G28" s="60">
        <f t="shared" si="10"/>
        <v>329524.3539513843</v>
      </c>
      <c r="H28" s="60">
        <f t="shared" si="10"/>
        <v>67305.8993945625</v>
      </c>
      <c r="I28" s="60">
        <f t="shared" si="10"/>
        <v>67305.8993945625</v>
      </c>
      <c r="J28" s="60">
        <f t="shared" si="10"/>
        <v>67305.8993945625</v>
      </c>
      <c r="K28" s="60">
        <f t="shared" si="10"/>
        <v>67305.8993945625</v>
      </c>
      <c r="L28" s="60">
        <f t="shared" si="10"/>
        <v>67305.8993945625</v>
      </c>
      <c r="M28" s="61">
        <f t="shared" si="10"/>
        <v>3549261.371784089</v>
      </c>
    </row>
    <row r="29" spans="1:13" ht="24" customHeight="1">
      <c r="A29" s="58" t="s">
        <v>136</v>
      </c>
      <c r="B29" s="68" t="s">
        <v>137</v>
      </c>
      <c r="C29" s="60">
        <f>C30+C31</f>
        <v>861779.1970725</v>
      </c>
      <c r="D29" s="60">
        <f aca="true" t="shared" si="11" ref="D29:L29">D30+D31</f>
        <v>675656.5106720629</v>
      </c>
      <c r="E29" s="60">
        <f t="shared" si="11"/>
        <v>883831.4391500346</v>
      </c>
      <c r="F29" s="60">
        <f t="shared" si="11"/>
        <v>1171101.9154490093</v>
      </c>
      <c r="G29" s="60">
        <f t="shared" si="11"/>
        <v>1101031.0311896177</v>
      </c>
      <c r="H29" s="60">
        <f t="shared" si="11"/>
        <v>276830.7540128259</v>
      </c>
      <c r="I29" s="60">
        <f t="shared" si="11"/>
        <v>331371.24826346705</v>
      </c>
      <c r="J29" s="60">
        <f t="shared" si="11"/>
        <v>388638.7672266406</v>
      </c>
      <c r="K29" s="60">
        <f t="shared" si="11"/>
        <v>448769.6621379725</v>
      </c>
      <c r="L29" s="60">
        <f t="shared" si="11"/>
        <v>511907.1017948712</v>
      </c>
      <c r="M29" s="61">
        <f t="shared" si="5"/>
        <v>6650917.626969001</v>
      </c>
    </row>
    <row r="30" spans="1:13" ht="15" customHeight="1">
      <c r="A30" s="58"/>
      <c r="B30" s="69" t="s">
        <v>138</v>
      </c>
      <c r="C30" s="62">
        <f>(C23+C24+C25)*$C$6</f>
        <v>861779.1970725</v>
      </c>
      <c r="D30" s="62">
        <f aca="true" t="shared" si="12" ref="D30:L30">(D23+D24+D25)*$C$6</f>
        <v>329588.54179125</v>
      </c>
      <c r="E30" s="62">
        <f t="shared" si="12"/>
        <v>280358.90218875</v>
      </c>
      <c r="F30" s="62">
        <f t="shared" si="12"/>
        <v>271709.50156875</v>
      </c>
      <c r="G30" s="62">
        <f t="shared" si="12"/>
        <v>199258.86860249998</v>
      </c>
      <c r="H30" s="62">
        <f t="shared" si="12"/>
        <v>40698.95655</v>
      </c>
      <c r="I30" s="62">
        <f t="shared" si="12"/>
        <v>40698.95655</v>
      </c>
      <c r="J30" s="62">
        <f t="shared" si="12"/>
        <v>40698.95655</v>
      </c>
      <c r="K30" s="62">
        <f t="shared" si="12"/>
        <v>40698.95655</v>
      </c>
      <c r="L30" s="62">
        <f t="shared" si="12"/>
        <v>40698.95655</v>
      </c>
      <c r="M30" s="64">
        <f>SUM(C30:L30)</f>
        <v>2146189.7939737504</v>
      </c>
    </row>
    <row r="31" spans="1:13" ht="15" customHeight="1">
      <c r="A31" s="58"/>
      <c r="B31" s="69" t="s">
        <v>139</v>
      </c>
      <c r="C31" s="62">
        <f>(C23+C24+C25+C30)*(C8-1)</f>
        <v>0</v>
      </c>
      <c r="D31" s="62">
        <f aca="true" t="shared" si="13" ref="D31:L31">(D23+D24+D25+D30)*(D8-1)</f>
        <v>346067.9688808128</v>
      </c>
      <c r="E31" s="62">
        <f t="shared" si="13"/>
        <v>603472.5369612846</v>
      </c>
      <c r="F31" s="62">
        <f t="shared" si="13"/>
        <v>899392.4138802593</v>
      </c>
      <c r="G31" s="62">
        <f t="shared" si="13"/>
        <v>901772.1625871178</v>
      </c>
      <c r="H31" s="62">
        <f t="shared" si="13"/>
        <v>236131.7974628259</v>
      </c>
      <c r="I31" s="62">
        <f t="shared" si="13"/>
        <v>290672.29171346704</v>
      </c>
      <c r="J31" s="62">
        <f t="shared" si="13"/>
        <v>347939.8106766406</v>
      </c>
      <c r="K31" s="62">
        <f t="shared" si="13"/>
        <v>408070.7055879725</v>
      </c>
      <c r="L31" s="62">
        <f t="shared" si="13"/>
        <v>471208.1452448712</v>
      </c>
      <c r="M31" s="64">
        <f>SUM(C31:L31)</f>
        <v>4504727.832995251</v>
      </c>
    </row>
    <row r="32" spans="1:13" ht="13.5" thickBot="1">
      <c r="A32" s="110" t="s">
        <v>140</v>
      </c>
      <c r="B32" s="111"/>
      <c r="C32" s="70">
        <f>C23+C24+C25+C26+C27+C28+C29</f>
        <v>20768878.649447247</v>
      </c>
      <c r="D32" s="70">
        <f aca="true" t="shared" si="14" ref="D32:M32">D23+D24+D25+D26+D27+D28+D29</f>
        <v>8289151.826049938</v>
      </c>
      <c r="E32" s="70">
        <f t="shared" si="14"/>
        <v>7360122.0797101585</v>
      </c>
      <c r="F32" s="70">
        <f t="shared" si="14"/>
        <v>7447591.401687134</v>
      </c>
      <c r="G32" s="70">
        <f t="shared" si="14"/>
        <v>5703910.895907367</v>
      </c>
      <c r="H32" s="70">
        <f t="shared" si="14"/>
        <v>1216976.6503178258</v>
      </c>
      <c r="I32" s="70">
        <f t="shared" si="14"/>
        <v>1271517.144568467</v>
      </c>
      <c r="J32" s="70">
        <f t="shared" si="14"/>
        <v>1328784.6635316405</v>
      </c>
      <c r="K32" s="70">
        <f t="shared" si="14"/>
        <v>1388915.5584429724</v>
      </c>
      <c r="L32" s="70">
        <f t="shared" si="14"/>
        <v>1452052.9980998712</v>
      </c>
      <c r="M32" s="71">
        <f t="shared" si="14"/>
        <v>56227901.867762625</v>
      </c>
    </row>
    <row r="33" spans="1:13" ht="14.25" thickBot="1" thickTop="1">
      <c r="A33" s="110" t="s">
        <v>148</v>
      </c>
      <c r="B33" s="111"/>
      <c r="C33" s="70">
        <f>ROUND(C32,-3)</f>
        <v>20769000</v>
      </c>
      <c r="D33" s="70">
        <f aca="true" t="shared" si="15" ref="D33:M33">ROUND(D32,-3)</f>
        <v>8289000</v>
      </c>
      <c r="E33" s="70">
        <f t="shared" si="15"/>
        <v>7360000</v>
      </c>
      <c r="F33" s="70">
        <f t="shared" si="15"/>
        <v>7448000</v>
      </c>
      <c r="G33" s="70">
        <f t="shared" si="15"/>
        <v>5704000</v>
      </c>
      <c r="H33" s="70">
        <f t="shared" si="15"/>
        <v>1217000</v>
      </c>
      <c r="I33" s="70">
        <f t="shared" si="15"/>
        <v>1272000</v>
      </c>
      <c r="J33" s="70">
        <f t="shared" si="15"/>
        <v>1329000</v>
      </c>
      <c r="K33" s="70">
        <f t="shared" si="15"/>
        <v>1389000</v>
      </c>
      <c r="L33" s="70">
        <f t="shared" si="15"/>
        <v>1452000</v>
      </c>
      <c r="M33" s="70">
        <f t="shared" si="15"/>
        <v>56228000</v>
      </c>
    </row>
    <row r="34" ht="13.5" thickTop="1"/>
  </sheetData>
  <sheetProtection/>
  <mergeCells count="5">
    <mergeCell ref="A33:B33"/>
    <mergeCell ref="A1:M1"/>
    <mergeCell ref="A2:M2"/>
    <mergeCell ref="L3:M3"/>
    <mergeCell ref="A32:B32"/>
  </mergeCells>
  <printOptions/>
  <pageMargins left="0.45" right="0.28" top="0.45" bottom="0.23" header="0.2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2016-10-25T08:43:15Z</cp:lastPrinted>
  <dcterms:created xsi:type="dcterms:W3CDTF">2013-08-28T00:35:36Z</dcterms:created>
  <dcterms:modified xsi:type="dcterms:W3CDTF">2016-10-31T03:19:53Z</dcterms:modified>
  <cp:category/>
  <cp:version/>
  <cp:contentType/>
  <cp:contentStatus/>
</cp:coreProperties>
</file>