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148" activeTab="1"/>
  </bookViews>
  <sheets>
    <sheet name="PL1 BTC" sheetId="1" r:id="rId1"/>
    <sheet name="PL 02" sheetId="2" r:id="rId2"/>
  </sheets>
  <definedNames>
    <definedName name="_xlnm.Print_Titles" localSheetId="1">'PL 02'!$5:$5</definedName>
    <definedName name="_xlnm.Print_Titles" localSheetId="0">'PL1 BTC'!$5:$6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xxx</author>
  </authors>
  <commentList>
    <comment ref="B10" authorId="0">
      <text>
        <r>
          <rPr>
            <b/>
            <sz val="10"/>
            <rFont val="Tahoma"/>
            <family val="2"/>
          </rPr>
          <t>Có 02 trường hợp ngành dọc (K10: đ/c Phạm Em - Đội trưởng Đội tổng hợp Công an huyện, K9: đ/c Nguyễn Thống Nhất-PGĐ BVĐK khu vực miền núi phía Bắc tỉnh Quảng Nam). Chưa tổng hợp vào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có 01 trường hợp cán bộ ngành dọc (K10: đ/c Nguyễn Thị Thanh Huệ - Viện phó VKSND huyện). Chưa tổng hợp vào
</t>
        </r>
        <r>
          <rPr>
            <sz val="8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9"/>
            <rFont val="Tahoma"/>
            <family val="2"/>
          </rPr>
          <t>đợt 2/2015 Lập thiếu K12 chi đợt này 3 tháng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0"/>
            <rFont val="Tahoma"/>
            <family val="2"/>
          </rPr>
          <t>Có 02 trường hợp (K10: đ/c Lê Nho Dũng-CCTTHA huyện, đ/c Đặng Quốc Long - PGĐ Cty CP Than-Điện) ngành dọc. Chưa tổng hợp vào</t>
        </r>
      </text>
    </comment>
    <comment ref="B15" authorId="0">
      <text>
        <r>
          <rPr>
            <b/>
            <sz val="8"/>
            <rFont val="Tahoma"/>
            <family val="2"/>
          </rPr>
          <t>Có 01 trường hợp (K9: đ/c Võ Hưng Lựu - PGĐ Trung tâm Y tế huyện) huyện không đề nghị. Hội An vẫn cấp</t>
        </r>
      </text>
    </comment>
    <comment ref="B17" authorId="0">
      <text>
        <r>
          <rPr>
            <b/>
            <sz val="11"/>
            <rFont val="Tahoma"/>
            <family val="2"/>
          </rPr>
          <t>Có 01 trường hợp ngành dọc (K10: Trần Ngọc Điệp - Trưởng phòng Thống kê huyện). Chưa tổng hợp vào</t>
        </r>
      </text>
    </comment>
    <comment ref="B18" authorId="0">
      <text>
        <r>
          <rPr>
            <b/>
            <sz val="8"/>
            <rFont val="Tahoma"/>
            <family val="2"/>
          </rPr>
          <t>Có 01 trường hợp ngành dọc (K9: đ/c Nguyễn Hữu Lời - Phó Công an huyện)
huyện ko đề nghị đ/c Phan Đình Nhân - GĐ Trung tâm DSKHHGĐ huyện. Chưa tổng hợp vào
   Đ/c Tạ Thọ - PGĐ phụ trách Trung tâm VH-TT huyện (có tổng hợp)</t>
        </r>
      </text>
    </comment>
    <comment ref="B19" authorId="0">
      <text>
        <r>
          <rPr>
            <b/>
            <sz val="8"/>
            <rFont val="Tahoma"/>
            <family val="2"/>
          </rPr>
          <t>Có 03 tr/h ngành dọc (K10: Nguyễn Trung Nam - Phó Can huyện; K9: đ/c Dương Văn Hùng - GĐ BHXH huyện, đ/c Dương Tú Phong - GĐ Kho bạc huyện). Chưa tổng hợp vào
Thiếu đ/c Nguyễn Đình Tứ - HUV, Chủ tịch Hội ND huyện (huyện Tiên Phước ko đề nghị, Lop K39)</t>
        </r>
      </text>
    </comment>
    <comment ref="B21" authorId="0">
      <text>
        <r>
          <rPr>
            <b/>
            <sz val="10"/>
            <rFont val="Tahoma"/>
            <family val="2"/>
          </rPr>
          <t>Có 02 trường hợp ngành dọc (K10; đ/c Bùi Ngọc Hồng - Phó Chi cục Thuế huyện; K38: đ/c Hồ Thanh Vấn - Viện phó VKSND huyện). Chưa tổng hợp vào</t>
        </r>
      </text>
    </comment>
    <comment ref="B22" authorId="0">
      <text>
        <r>
          <rPr>
            <b/>
            <sz val="8"/>
            <rFont val="Tahoma"/>
            <family val="2"/>
          </rPr>
          <t>Có 02 tr/h ngành dọc (K10: đ/c Ngô Thị Thu Hà - PGĐ Kho bạc huyện; K38: đ/c Đỗ Hoài Xoan - PGĐ Ngân hàng NNo&amp;PTNT huyện)
Không đề nghị các đ/c học CCLLCT-HC K9</t>
        </r>
      </text>
    </comment>
    <comment ref="B24" authorId="0">
      <text>
        <r>
          <rPr>
            <b/>
            <sz val="10"/>
            <rFont val="Tahoma"/>
            <family val="2"/>
          </rPr>
          <t>Có 01 trường hợp ngành dọc (K10: đ/c Đoàn Đá - GĐ Kho bạc NN huyện). Chưa tổng hợp vào</t>
        </r>
      </text>
    </comment>
    <comment ref="B25" authorId="0">
      <text>
        <r>
          <rPr>
            <sz val="10"/>
            <rFont val="Tahoma"/>
            <family val="2"/>
          </rPr>
          <t>Có 01 tr/h ngành dọc (K10: đ/c Lê Quốc Kiện - Phó trưởng Can huyện). Chưa tổng hợp vào</t>
        </r>
      </text>
    </comment>
  </commentList>
</comments>
</file>

<file path=xl/sharedStrings.xml><?xml version="1.0" encoding="utf-8"?>
<sst xmlns="http://schemas.openxmlformats.org/spreadsheetml/2006/main" count="280" uniqueCount="166">
  <si>
    <t>TT</t>
  </si>
  <si>
    <t>Số tiền</t>
  </si>
  <si>
    <t>Núi Thành</t>
  </si>
  <si>
    <t>Tam Kỳ</t>
  </si>
  <si>
    <t>Phú Ninh</t>
  </si>
  <si>
    <t>Thăng Bình</t>
  </si>
  <si>
    <t>Quế Sơn</t>
  </si>
  <si>
    <t>Điện Bàn</t>
  </si>
  <si>
    <t>Hội An</t>
  </si>
  <si>
    <t>Đại Lộc</t>
  </si>
  <si>
    <t>Tiên Phước</t>
  </si>
  <si>
    <t>Nông Sơn</t>
  </si>
  <si>
    <t>Hiệp Đức</t>
  </si>
  <si>
    <t>Bắc Trà My</t>
  </si>
  <si>
    <t>Nam Trà My</t>
  </si>
  <si>
    <t>Phước Sơn</t>
  </si>
  <si>
    <t>Tây Giang</t>
  </si>
  <si>
    <t>Nam Giang</t>
  </si>
  <si>
    <t>Ghi chú</t>
  </si>
  <si>
    <t>Ban Tổ chức Tỉnh ủy</t>
  </si>
  <si>
    <t>Ban Tuyên giáo Tỉnh ủy</t>
  </si>
  <si>
    <t>Ban Dân vận Tỉnh ủy</t>
  </si>
  <si>
    <t>Văn phòng Tỉnh ủy</t>
  </si>
  <si>
    <t>Trường Chính trị tỉnh</t>
  </si>
  <si>
    <t>Hội Liên hiệp Phụ nữ tỉnh</t>
  </si>
  <si>
    <t>Hội Nông dân tỉnh</t>
  </si>
  <si>
    <t>Tỉnh đoàn</t>
  </si>
  <si>
    <t>Sở Giao thông vận tải</t>
  </si>
  <si>
    <t>Trường Đại học Quảng Nam</t>
  </si>
  <si>
    <t>ĐVT: Đồng</t>
  </si>
  <si>
    <t>Đảng ủy Khối Doanh nghiệp</t>
  </si>
  <si>
    <t>Tổng cộng</t>
  </si>
  <si>
    <t xml:space="preserve">           ĐVT: Đồng</t>
  </si>
  <si>
    <t>Trường Cao đẳng nghề Quảng Nam</t>
  </si>
  <si>
    <t>Ban Quản lý Khu KTM Chu Lai</t>
  </si>
  <si>
    <t>Liên minh Hợp tác xã tỉnh</t>
  </si>
  <si>
    <t>Sở Y tế</t>
  </si>
  <si>
    <t>Sở Tài nguyên và Môi trường</t>
  </si>
  <si>
    <t>Sở Tài chính</t>
  </si>
  <si>
    <t>Sở Khoa học và Công nghệ</t>
  </si>
  <si>
    <t>Sở Kế hoạch và Đầu tư</t>
  </si>
  <si>
    <t>Văn phòng UBND tỉnh</t>
  </si>
  <si>
    <t>KHỐI NHÀ NƯỚC</t>
  </si>
  <si>
    <t>Ủy ban Mặt trận TQVN tỉnh</t>
  </si>
  <si>
    <t>Ủy ban Kiểm tra Tỉnh ủy</t>
  </si>
  <si>
    <t>KHỐI ĐẢNG, ĐOÀN THỂ TỈNH</t>
  </si>
  <si>
    <t>II-</t>
  </si>
  <si>
    <t>Số phòng</t>
  </si>
  <si>
    <t>Số lượng</t>
  </si>
  <si>
    <t>Số chuyến</t>
  </si>
  <si>
    <t>Số ngày</t>
  </si>
  <si>
    <t>10 đ/c ở ngành dọc ko hỗ trợ</t>
  </si>
  <si>
    <t>01 đ/c ở Ngân hàng Vietcombank (ko hỗ trợ)</t>
  </si>
  <si>
    <t>I-</t>
  </si>
  <si>
    <t>khác...</t>
  </si>
  <si>
    <t>tổ chức khai giang, bế giảng</t>
  </si>
  <si>
    <t>Giấy thi</t>
  </si>
  <si>
    <t>Quản lý</t>
  </si>
  <si>
    <t>Khen thưởng</t>
  </si>
  <si>
    <t>Hỗ trợ tiền nội trú cho học viên là cán bộ xã (tính 08 tháng học tập trung)</t>
  </si>
  <si>
    <t>Hỗ trợ tiền ăn cho Học viên là cán bộ xã (tính 08 tháng học tập trung)</t>
  </si>
  <si>
    <t>Hỗ trợ tiền tàu xe cho học viên là cán bộ xã (tính cho khóa học)</t>
  </si>
  <si>
    <t>Hỗ trợ tiền tài liệu cho học viên là cán bộ xã (tính cho khóa học)</t>
  </si>
  <si>
    <t>Hỗ trợ tiền xăng xe khai giảng, bế giảng, kiểm tra</t>
  </si>
  <si>
    <t>Hỗ trợ tiền lưu trú giảng viên</t>
  </si>
  <si>
    <t>Hỗ trợ tiền tàu xe giảng viên</t>
  </si>
  <si>
    <t>Hỗ trợ tiền ăn giảng viên</t>
  </si>
  <si>
    <t>Ngày khai giảng</t>
  </si>
  <si>
    <t>Hỗ trợ theo QĐ14UBND</t>
  </si>
  <si>
    <t>Số tháng học</t>
  </si>
  <si>
    <t>SL đã đóng HP</t>
  </si>
  <si>
    <t>Nuôi con ≤24th</t>
  </si>
  <si>
    <t>DTTS</t>
  </si>
  <si>
    <t>Nữ</t>
  </si>
  <si>
    <t>SL</t>
  </si>
  <si>
    <t>Hỗ trợ theo QĐ37UBND</t>
  </si>
  <si>
    <t>SL Bảo vệ</t>
  </si>
  <si>
    <t>SL đang học</t>
  </si>
  <si>
    <t>Nuôi con &lt;24th</t>
  </si>
  <si>
    <t>Cán bộ đi bồi dưỡng</t>
  </si>
  <si>
    <t>Chuyên môn</t>
  </si>
  <si>
    <t>Lý luận
chính trị</t>
  </si>
  <si>
    <t>Sở Tài chính không đồng ý</t>
  </si>
  <si>
    <t>Kinh phí mở lớp</t>
  </si>
  <si>
    <t>Bồi dưỡng dự nguồn cán bộ lãnh đạo, quản lý tỉnh năm 2014</t>
  </si>
  <si>
    <t>Bồi dưỡng hoàn chỉnh kiến thức CCLLCT-HC</t>
  </si>
  <si>
    <t>Bồi dưỡng CVCC</t>
  </si>
  <si>
    <t>Bồi dưỡng CVC</t>
  </si>
  <si>
    <t>Bồi dưỡng CV</t>
  </si>
  <si>
    <t>Đại học</t>
  </si>
  <si>
    <t>Thạc sỹ</t>
  </si>
  <si>
    <t>Nghiên cứu sinh (Tiến sĩ)</t>
  </si>
  <si>
    <t>Lớp CCLLCT-HC hệ tại chức K11
(23/09/2014) tại Trường Chính trị</t>
  </si>
  <si>
    <t>Lớp CCLLCT-HC hệ tại chức K10
(19/08/2013) tại Trường Chính trị</t>
  </si>
  <si>
    <t xml:space="preserve">Lớp CCLLCT-HC hệ tại chức K9
(07/05/2012) tại Điện Bàn </t>
  </si>
  <si>
    <t>Lớp CCLLCT-HC hệ tại chức K6
(05/2011-05/2013) tại Đà Nẵng</t>
  </si>
  <si>
    <t>Lớp CCLLCT-HC hệ tập trung, K41 (18/8/2014) Đà Nẵng</t>
  </si>
  <si>
    <t>Lớp CCLLCT-HC hệ tập trung, K40 (10/02/2014) Đà Nẵng</t>
  </si>
  <si>
    <t>Lớp CCLLCT-HC hệ tập trung, K18ĐB (08/2013) Đà Nẵng</t>
  </si>
  <si>
    <t>Lớp CCLLCT-HC hệ tập trung, K39 (12/08/2013) Đà Nẵng</t>
  </si>
  <si>
    <t>Lớp CCLLCT-HC hệ tập trung, K38 (02/2013-02/2014) Đà Nẵng</t>
  </si>
  <si>
    <t>Lớp CCLLCT-HC hệ tập trung, K37 (02/2012-02/2013) Đà Nẵng</t>
  </si>
  <si>
    <t>Lớp Cao cấp LLCT-HC tại Hà Nội (09/2014-09/2015)</t>
  </si>
  <si>
    <t>Lớp Cao cấp LLCT-HC tại Hà Nội (09/2013-09/2014)</t>
  </si>
  <si>
    <t>Lớp CNCT tại Hà Nội (09/2013-09/2014)</t>
  </si>
  <si>
    <t>Trong đó</t>
  </si>
  <si>
    <t>Cấp 
bằng 
lệnh
chi
tiền</t>
  </si>
  <si>
    <t>CƠ QUAN, ĐƠN VỊ CHỦ TRÌ MỞ LỚP</t>
  </si>
  <si>
    <t>NỘI DUNG BỒI DƯỠNG, TẬP HUẤN</t>
  </si>
  <si>
    <t>ĐỐI TƯỢNG</t>
  </si>
  <si>
    <t>03 ngày</t>
  </si>
  <si>
    <t>05 ngày</t>
  </si>
  <si>
    <t>Quần chúng (Đoàn viên TNCS Hồ Chí Minh, Đoàn viên công đoàn)</t>
  </si>
  <si>
    <t>Đảng viên dự bị thuộc Đảng ủy khối Doanh nghiệp</t>
  </si>
  <si>
    <t>TỔNG CỘNG:</t>
  </si>
  <si>
    <t>Báo Quảng Nam</t>
  </si>
  <si>
    <t>II</t>
  </si>
  <si>
    <t>Khối Nhà nước</t>
  </si>
  <si>
    <t>Sở Ngoại vụ</t>
  </si>
  <si>
    <t>Sở Nội vụ</t>
  </si>
  <si>
    <t>Đài PT-TH Quảng Nam</t>
  </si>
  <si>
    <t>TỔNG CỘNG</t>
  </si>
  <si>
    <t>KHỐI ĐẢNG, ĐOÀN THỂ</t>
  </si>
  <si>
    <t>I</t>
  </si>
  <si>
    <t>ĐƠN VỊ ĐỀ NGHỊ</t>
  </si>
  <si>
    <t>Lớp tập huấn Nghị định số 16/2015/NĐ-CP</t>
  </si>
  <si>
    <t xml:space="preserve">KINH PHÍ MỞ LỚP BỒI DƯỠNG, TẬP HUẤN KHỐI ĐẢNG, ĐOÀN THỂ, KHỐI NHÀ NƯỚC, KHỐI HUYỆN NĂM 2015 (ĐỢT 2) </t>
  </si>
  <si>
    <t>ĐVT: đồng</t>
  </si>
  <si>
    <t>Duy Xuyên</t>
  </si>
  <si>
    <t>Đông Giang</t>
  </si>
  <si>
    <t>Đvt: đồng</t>
  </si>
  <si>
    <t xml:space="preserve"> Nam Giang</t>
  </si>
  <si>
    <t xml:space="preserve"> Lớp TCLLCT-HC khóa 91, khai giảng ngày 19/08/2015</t>
  </si>
  <si>
    <t xml:space="preserve"> Lớp TCLLCT-HC Khóa 92, khai giảng ngày 8/9/2015</t>
  </si>
  <si>
    <t>Lớp TCLLCT-HC Khóa 77, khai giảng ngày 20/09/2015</t>
  </si>
  <si>
    <t>Lớp TCLLCT-HC Khóa 56, khai giảng ngày 07/05/2012</t>
  </si>
  <si>
    <t xml:space="preserve"> Lớp TCLLCT-HC Khóa 88, khai giảng ngày 09/04/2015</t>
  </si>
  <si>
    <t>Lớp TCLLCT-HC Khóa 82, khai giảng ngày 09/12/2014</t>
  </si>
  <si>
    <t>Lớp TCLLCT-HC Khóa 80, khai giảng ngày 04/11/2014</t>
  </si>
  <si>
    <t>Các lớp Đảng viên mới , đối tượng Đảng, lớp nghiệp vụ công tác tổ chức, lớp nghiệp vụ công tác kiểm tra</t>
  </si>
  <si>
    <t>Kinh phí</t>
  </si>
  <si>
    <t>KINH PHÍ</t>
  </si>
  <si>
    <t>Địa phương, đơn vị</t>
  </si>
  <si>
    <t>KHỐI UBND CÁC HUYỆN, THỊ XÃ, THÀNH PHỐ</t>
  </si>
  <si>
    <t>Văn phòng Tỉnh ủy và các Ban thuộc Tỉnh ủy</t>
  </si>
  <si>
    <t>Đảng ủy khối Doanh nghiệp</t>
  </si>
  <si>
    <t>Đảng ủy khối các cơ quan</t>
  </si>
  <si>
    <t>Sở Giáo dục và Đào tạo</t>
  </si>
  <si>
    <t>Sở Tư pháp</t>
  </si>
  <si>
    <t>Sở Xây dựng</t>
  </si>
  <si>
    <t>Sở Lao động, Thương binh và Xã hội</t>
  </si>
  <si>
    <t>Sở Nông nghiệp và PTNT</t>
  </si>
  <si>
    <t>Sở Văn hóa, Thể thao và Du lịch</t>
  </si>
  <si>
    <t>Trung tâm Phát triển nguồn nhân lực chất lượng cao</t>
  </si>
  <si>
    <t>Trường Cao đẳng Kinh tế - Kỹ thuật Quảng Nam</t>
  </si>
  <si>
    <t>Thanh tra tỉnh</t>
  </si>
  <si>
    <t>Sở Công thương</t>
  </si>
  <si>
    <t>Văn phòng Đoàn ĐBQH và HĐND tỉnh</t>
  </si>
  <si>
    <t>Sở Thông tin và Truyền thông</t>
  </si>
  <si>
    <t>Ban Xúc tiến đầu tư và HTDN tỉnh</t>
  </si>
  <si>
    <t>KHỐI UBND CÁC HUYỆN</t>
  </si>
  <si>
    <t>KINH PHÍ ĐÀO TẠO, BỒI DƯỠNG LÝ LUẬN CHÍNH TRỊ, CHUYÊN MÔN KHỐI UBND CÁC HUYỆN, THỊ XÃ, THÀNH PHỐ; KHỐI ĐẢNG, ĐOÀN THỂ TỈNH; KHỐI NHÀ NƯỚC NĂM 2015 (ĐỢT 2)</t>
  </si>
  <si>
    <t>Phụ lục 01</t>
  </si>
  <si>
    <t>(Kèm theo Quyết định số           4136  /QĐ-UBND ngày   30   / 10    /2015 của UBND tỉnh)</t>
  </si>
  <si>
    <t>Phụ lục 02</t>
  </si>
  <si>
    <t>(Kèm theo Quyết định số       4136  /QĐ-UBND ngày   30   /10   /2015 của UBND tỉnh)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</si>
</sst>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</numFmts>
  <fonts count="7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7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7"/>
      <color indexed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b/>
      <sz val="8.5"/>
      <color indexed="8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1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33" borderId="0" xfId="57" applyFont="1" applyFill="1">
      <alignment/>
      <protection/>
    </xf>
    <xf numFmtId="3" fontId="6" fillId="33" borderId="0" xfId="57" applyNumberFormat="1" applyFont="1" applyFill="1" applyAlignment="1">
      <alignment horizontal="right"/>
      <protection/>
    </xf>
    <xf numFmtId="0" fontId="6" fillId="33" borderId="0" xfId="57" applyFont="1" applyFill="1" applyAlignment="1">
      <alignment horizontal="right"/>
      <protection/>
    </xf>
    <xf numFmtId="0" fontId="7" fillId="33" borderId="0" xfId="57" applyFont="1" applyFill="1" applyAlignment="1">
      <alignment wrapText="1"/>
      <protection/>
    </xf>
    <xf numFmtId="0" fontId="6" fillId="33" borderId="0" xfId="57" applyFont="1" applyFill="1" applyAlignment="1">
      <alignment horizontal="center" vertical="center"/>
      <protection/>
    </xf>
    <xf numFmtId="0" fontId="9" fillId="33" borderId="0" xfId="57" applyFont="1" applyFill="1" applyAlignment="1">
      <alignment vertical="center"/>
      <protection/>
    </xf>
    <xf numFmtId="0" fontId="9" fillId="33" borderId="0" xfId="57" applyFont="1" applyFill="1" applyBorder="1" applyAlignment="1">
      <alignment vertical="center"/>
      <protection/>
    </xf>
    <xf numFmtId="0" fontId="10" fillId="33" borderId="10" xfId="57" applyFont="1" applyFill="1" applyBorder="1" applyAlignment="1">
      <alignment vertical="center"/>
      <protection/>
    </xf>
    <xf numFmtId="3" fontId="10" fillId="33" borderId="10" xfId="57" applyNumberFormat="1" applyFont="1" applyFill="1" applyBorder="1" applyAlignment="1">
      <alignment horizontal="right" vertical="center"/>
      <protection/>
    </xf>
    <xf numFmtId="0" fontId="12" fillId="33" borderId="0" xfId="57" applyFont="1" applyFill="1" applyAlignment="1">
      <alignment vertical="center"/>
      <protection/>
    </xf>
    <xf numFmtId="3" fontId="11" fillId="33" borderId="0" xfId="57" applyNumberFormat="1" applyFont="1" applyFill="1" applyBorder="1" applyAlignment="1">
      <alignment horizontal="right" vertical="center" wrapText="1"/>
      <protection/>
    </xf>
    <xf numFmtId="3" fontId="10" fillId="33" borderId="10" xfId="57" applyNumberFormat="1" applyFont="1" applyFill="1" applyBorder="1" applyAlignment="1">
      <alignment horizontal="right" vertical="center" wrapText="1"/>
      <protection/>
    </xf>
    <xf numFmtId="0" fontId="13" fillId="33" borderId="10" xfId="57" applyFont="1" applyFill="1" applyBorder="1" applyAlignment="1">
      <alignment vertical="center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3" fontId="10" fillId="33" borderId="10" xfId="57" applyNumberFormat="1" applyFont="1" applyFill="1" applyBorder="1" applyAlignment="1">
      <alignment horizontal="center" vertical="center" wrapText="1"/>
      <protection/>
    </xf>
    <xf numFmtId="3" fontId="16" fillId="33" borderId="10" xfId="57" applyNumberFormat="1" applyFont="1" applyFill="1" applyBorder="1" applyAlignment="1">
      <alignment horizontal="right" vertical="center" wrapText="1"/>
      <protection/>
    </xf>
    <xf numFmtId="0" fontId="16" fillId="33" borderId="10" xfId="57" applyFont="1" applyFill="1" applyBorder="1" applyAlignment="1">
      <alignment horizontal="center" vertical="center" wrapText="1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 wrapText="1"/>
      <protection/>
    </xf>
    <xf numFmtId="3" fontId="17" fillId="33" borderId="10" xfId="57" applyNumberFormat="1" applyFont="1" applyFill="1" applyBorder="1" applyAlignment="1">
      <alignment horizontal="right" vertical="center" wrapText="1"/>
      <protection/>
    </xf>
    <xf numFmtId="3" fontId="18" fillId="0" borderId="10" xfId="57" applyNumberFormat="1" applyFont="1" applyBorder="1" applyAlignment="1" quotePrefix="1">
      <alignment horizontal="right" vertical="center" wrapText="1"/>
      <protection/>
    </xf>
    <xf numFmtId="3" fontId="18" fillId="0" borderId="10" xfId="57" applyNumberFormat="1" applyFont="1" applyBorder="1" applyAlignment="1" quotePrefix="1">
      <alignment horizontal="center" vertical="center" wrapText="1"/>
      <protection/>
    </xf>
    <xf numFmtId="3" fontId="15" fillId="0" borderId="10" xfId="57" applyNumberFormat="1" applyFont="1" applyBorder="1" applyAlignment="1">
      <alignment horizontal="center" vertical="center"/>
      <protection/>
    </xf>
    <xf numFmtId="3" fontId="15" fillId="0" borderId="10" xfId="57" applyNumberFormat="1" applyFont="1" applyBorder="1" applyAlignment="1" quotePrefix="1">
      <alignment horizontal="center" vertical="center"/>
      <protection/>
    </xf>
    <xf numFmtId="0" fontId="18" fillId="33" borderId="0" xfId="57" applyFont="1" applyFill="1" applyAlignment="1">
      <alignment horizontal="center" vertical="center" wrapText="1"/>
      <protection/>
    </xf>
    <xf numFmtId="0" fontId="7" fillId="33" borderId="0" xfId="57" applyFont="1" applyFill="1" applyAlignment="1">
      <alignment vertical="center"/>
      <protection/>
    </xf>
    <xf numFmtId="0" fontId="19" fillId="33" borderId="0" xfId="57" applyFont="1" applyFill="1" applyAlignment="1">
      <alignment horizontal="center" vertical="center" wrapText="1"/>
      <protection/>
    </xf>
    <xf numFmtId="3" fontId="20" fillId="33" borderId="0" xfId="57" applyNumberFormat="1" applyFont="1" applyFill="1" applyBorder="1" applyAlignment="1">
      <alignment horizontal="right" vertical="center" wrapText="1"/>
      <protection/>
    </xf>
    <xf numFmtId="3" fontId="21" fillId="33" borderId="10" xfId="57" applyNumberFormat="1" applyFont="1" applyFill="1" applyBorder="1" applyAlignment="1">
      <alignment horizontal="right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3" fontId="21" fillId="33" borderId="10" xfId="57" applyNumberFormat="1" applyFont="1" applyFill="1" applyBorder="1" applyAlignment="1">
      <alignment horizontal="center" vertical="center" wrapText="1"/>
      <protection/>
    </xf>
    <xf numFmtId="0" fontId="7" fillId="33" borderId="0" xfId="57" applyFont="1" applyFill="1" applyAlignment="1">
      <alignment horizontal="center" vertical="center"/>
      <protection/>
    </xf>
    <xf numFmtId="0" fontId="23" fillId="33" borderId="0" xfId="57" applyFont="1" applyFill="1" applyAlignment="1">
      <alignment horizontal="center" vertical="center" wrapText="1"/>
      <protection/>
    </xf>
    <xf numFmtId="0" fontId="23" fillId="33" borderId="10" xfId="57" applyFont="1" applyFill="1" applyBorder="1" applyAlignment="1">
      <alignment horizontal="center" vertical="center" wrapText="1"/>
      <protection/>
    </xf>
    <xf numFmtId="0" fontId="24" fillId="33" borderId="0" xfId="57" applyFont="1" applyFill="1" applyAlignment="1">
      <alignment horizontal="center" vertical="center" wrapText="1"/>
      <protection/>
    </xf>
    <xf numFmtId="0" fontId="25" fillId="33" borderId="10" xfId="57" applyFont="1" applyFill="1" applyBorder="1" applyAlignment="1">
      <alignment horizontal="center" vertical="center" wrapText="1"/>
      <protection/>
    </xf>
    <xf numFmtId="0" fontId="20" fillId="33" borderId="0" xfId="57" applyFont="1" applyFill="1" applyBorder="1" applyAlignment="1">
      <alignment horizontal="center" vertical="center" wrapText="1"/>
      <protection/>
    </xf>
    <xf numFmtId="3" fontId="26" fillId="33" borderId="10" xfId="57" applyNumberFormat="1" applyFont="1" applyFill="1" applyBorder="1" applyAlignment="1">
      <alignment horizontal="center" vertical="center" wrapText="1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1" fillId="33" borderId="12" xfId="57" applyFont="1" applyFill="1" applyBorder="1" applyAlignment="1">
      <alignment horizontal="center" vertical="center" wrapText="1"/>
      <protection/>
    </xf>
    <xf numFmtId="0" fontId="28" fillId="33" borderId="13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vertical="center"/>
      <protection/>
    </xf>
    <xf numFmtId="0" fontId="9" fillId="33" borderId="13" xfId="57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7" fillId="33" borderId="0" xfId="57" applyFont="1" applyFill="1">
      <alignment/>
      <protection/>
    </xf>
    <xf numFmtId="0" fontId="34" fillId="33" borderId="14" xfId="57" applyFont="1" applyFill="1" applyBorder="1" applyAlignment="1">
      <alignment horizontal="center" vertical="center"/>
      <protection/>
    </xf>
    <xf numFmtId="3" fontId="1" fillId="33" borderId="14" xfId="57" applyNumberFormat="1" applyFont="1" applyFill="1" applyBorder="1" applyAlignment="1">
      <alignment horizontal="right" vertical="center"/>
      <protection/>
    </xf>
    <xf numFmtId="0" fontId="3" fillId="33" borderId="14" xfId="57" applyFont="1" applyFill="1" applyBorder="1" applyAlignment="1">
      <alignment horizontal="justify" vertical="center" wrapText="1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1" fillId="33" borderId="14" xfId="57" applyFont="1" applyFill="1" applyBorder="1" applyAlignment="1">
      <alignment horizontal="left" vertical="center"/>
      <protection/>
    </xf>
    <xf numFmtId="3" fontId="1" fillId="33" borderId="15" xfId="57" applyNumberFormat="1" applyFont="1" applyFill="1" applyBorder="1" applyAlignment="1">
      <alignment horizontal="right" vertical="center"/>
      <protection/>
    </xf>
    <xf numFmtId="0" fontId="1" fillId="33" borderId="14" xfId="57" applyFont="1" applyFill="1" applyBorder="1" applyAlignment="1">
      <alignment horizontal="center" vertical="center" wrapText="1"/>
      <protection/>
    </xf>
    <xf numFmtId="0" fontId="1" fillId="33" borderId="14" xfId="57" applyFont="1" applyFill="1" applyBorder="1" applyAlignment="1">
      <alignment vertical="center" wrapText="1"/>
      <protection/>
    </xf>
    <xf numFmtId="0" fontId="1" fillId="33" borderId="14" xfId="57" applyFont="1" applyFill="1" applyBorder="1" applyAlignment="1">
      <alignment horizontal="justify" vertical="center" wrapText="1"/>
      <protection/>
    </xf>
    <xf numFmtId="0" fontId="1" fillId="33" borderId="15" xfId="57" applyFont="1" applyFill="1" applyBorder="1" applyAlignment="1">
      <alignment horizontal="center" vertical="center" wrapText="1"/>
      <protection/>
    </xf>
    <xf numFmtId="0" fontId="1" fillId="33" borderId="15" xfId="57" applyFont="1" applyFill="1" applyBorder="1" applyAlignment="1">
      <alignment vertical="center" wrapText="1"/>
      <protection/>
    </xf>
    <xf numFmtId="0" fontId="34" fillId="33" borderId="16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right" vertical="center" wrapText="1"/>
      <protection/>
    </xf>
    <xf numFmtId="0" fontId="2" fillId="33" borderId="14" xfId="57" applyFont="1" applyFill="1" applyBorder="1" applyAlignment="1">
      <alignment vertical="center"/>
      <protection/>
    </xf>
    <xf numFmtId="3" fontId="2" fillId="33" borderId="14" xfId="57" applyNumberFormat="1" applyFont="1" applyFill="1" applyBorder="1" applyAlignment="1">
      <alignment horizontal="right" vertical="center" wrapText="1"/>
      <protection/>
    </xf>
    <xf numFmtId="3" fontId="2" fillId="33" borderId="14" xfId="57" applyNumberFormat="1" applyFont="1" applyFill="1" applyBorder="1" applyAlignment="1">
      <alignment horizontal="center" vertical="center" wrapText="1"/>
      <protection/>
    </xf>
    <xf numFmtId="0" fontId="34" fillId="33" borderId="10" xfId="57" applyFont="1" applyFill="1" applyBorder="1" applyAlignment="1">
      <alignment horizontal="right" vertical="center" wrapText="1"/>
      <protection/>
    </xf>
    <xf numFmtId="3" fontId="34" fillId="33" borderId="10" xfId="57" applyNumberFormat="1" applyFont="1" applyFill="1" applyBorder="1" applyAlignment="1">
      <alignment horizontal="right" vertical="center" wrapText="1"/>
      <protection/>
    </xf>
    <xf numFmtId="0" fontId="36" fillId="33" borderId="17" xfId="57" applyFont="1" applyFill="1" applyBorder="1" applyAlignment="1">
      <alignment horizontal="center" vertical="center" wrapText="1"/>
      <protection/>
    </xf>
    <xf numFmtId="0" fontId="36" fillId="33" borderId="17" xfId="57" applyFont="1" applyFill="1" applyBorder="1" applyAlignment="1">
      <alignment horizontal="left" vertical="center" wrapText="1"/>
      <protection/>
    </xf>
    <xf numFmtId="3" fontId="36" fillId="33" borderId="17" xfId="57" applyNumberFormat="1" applyFont="1" applyFill="1" applyBorder="1" applyAlignment="1">
      <alignment horizontal="right" vertical="center"/>
      <protection/>
    </xf>
    <xf numFmtId="3" fontId="14" fillId="34" borderId="17" xfId="0" applyNumberFormat="1" applyFont="1" applyFill="1" applyBorder="1" applyAlignment="1">
      <alignment horizontal="right" vertical="center"/>
    </xf>
    <xf numFmtId="0" fontId="36" fillId="33" borderId="18" xfId="57" applyFont="1" applyFill="1" applyBorder="1" applyAlignment="1">
      <alignment horizontal="center" vertical="center" wrapText="1"/>
      <protection/>
    </xf>
    <xf numFmtId="0" fontId="36" fillId="33" borderId="18" xfId="57" applyFont="1" applyFill="1" applyBorder="1" applyAlignment="1">
      <alignment horizontal="left" vertical="center" wrapText="1"/>
      <protection/>
    </xf>
    <xf numFmtId="3" fontId="36" fillId="33" borderId="18" xfId="57" applyNumberFormat="1" applyFont="1" applyFill="1" applyBorder="1" applyAlignment="1">
      <alignment horizontal="right" vertical="center"/>
      <protection/>
    </xf>
    <xf numFmtId="3" fontId="14" fillId="34" borderId="18" xfId="0" applyNumberFormat="1" applyFont="1" applyFill="1" applyBorder="1" applyAlignment="1">
      <alignment horizontal="right" vertical="center"/>
    </xf>
    <xf numFmtId="0" fontId="1" fillId="33" borderId="18" xfId="57" applyFont="1" applyFill="1" applyBorder="1" applyAlignment="1">
      <alignment horizontal="left" vertical="center" wrapText="1"/>
      <protection/>
    </xf>
    <xf numFmtId="3" fontId="1" fillId="33" borderId="18" xfId="57" applyNumberFormat="1" applyFont="1" applyFill="1" applyBorder="1" applyAlignment="1">
      <alignment horizontal="right" vertical="center"/>
      <protection/>
    </xf>
    <xf numFmtId="0" fontId="36" fillId="33" borderId="19" xfId="57" applyFont="1" applyFill="1" applyBorder="1" applyAlignment="1">
      <alignment horizontal="center" vertical="center" wrapText="1"/>
      <protection/>
    </xf>
    <xf numFmtId="0" fontId="1" fillId="33" borderId="19" xfId="57" applyFont="1" applyFill="1" applyBorder="1" applyAlignment="1">
      <alignment horizontal="left" vertical="center" wrapText="1"/>
      <protection/>
    </xf>
    <xf numFmtId="3" fontId="1" fillId="33" borderId="19" xfId="57" applyNumberFormat="1" applyFont="1" applyFill="1" applyBorder="1" applyAlignment="1">
      <alignment horizontal="right" vertical="center"/>
      <protection/>
    </xf>
    <xf numFmtId="3" fontId="14" fillId="34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81" fontId="1" fillId="0" borderId="17" xfId="42" applyNumberFormat="1" applyFont="1" applyBorder="1" applyAlignment="1">
      <alignment horizontal="left" vertical="center" wrapText="1"/>
    </xf>
    <xf numFmtId="181" fontId="1" fillId="0" borderId="17" xfId="0" applyNumberFormat="1" applyFont="1" applyBorder="1" applyAlignment="1">
      <alignment horizontal="center" vertical="center" wrapText="1"/>
    </xf>
    <xf numFmtId="181" fontId="1" fillId="0" borderId="17" xfId="42" applyNumberFormat="1" applyFont="1" applyBorder="1" applyAlignment="1">
      <alignment horizontal="center" vertical="center" wrapText="1"/>
    </xf>
    <xf numFmtId="0" fontId="1" fillId="33" borderId="18" xfId="57" applyFont="1" applyFill="1" applyBorder="1" applyAlignment="1">
      <alignment horizontal="center" vertical="center" wrapText="1"/>
      <protection/>
    </xf>
    <xf numFmtId="0" fontId="1" fillId="33" borderId="18" xfId="57" applyFont="1" applyFill="1" applyBorder="1" applyAlignment="1">
      <alignment vertical="center" wrapText="1"/>
      <protection/>
    </xf>
    <xf numFmtId="0" fontId="1" fillId="33" borderId="15" xfId="57" applyFont="1" applyFill="1" applyBorder="1" applyAlignment="1">
      <alignment vertical="center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vertical="center"/>
      <protection/>
    </xf>
    <xf numFmtId="3" fontId="2" fillId="34" borderId="10" xfId="57" applyNumberFormat="1" applyFont="1" applyFill="1" applyBorder="1" applyAlignment="1">
      <alignment horizontal="right" vertical="center" wrapText="1"/>
      <protection/>
    </xf>
    <xf numFmtId="0" fontId="1" fillId="34" borderId="16" xfId="57" applyFont="1" applyFill="1" applyBorder="1" applyAlignment="1">
      <alignment horizontal="center" vertical="center" wrapText="1"/>
      <protection/>
    </xf>
    <xf numFmtId="0" fontId="1" fillId="33" borderId="16" xfId="57" applyFont="1" applyFill="1" applyBorder="1" applyAlignment="1">
      <alignment vertical="center" wrapText="1"/>
      <protection/>
    </xf>
    <xf numFmtId="3" fontId="1" fillId="33" borderId="16" xfId="57" applyNumberFormat="1" applyFont="1" applyFill="1" applyBorder="1" applyAlignment="1">
      <alignment vertical="center" wrapText="1"/>
      <protection/>
    </xf>
    <xf numFmtId="3" fontId="1" fillId="34" borderId="16" xfId="57" applyNumberFormat="1" applyFont="1" applyFill="1" applyBorder="1" applyAlignment="1">
      <alignment horizontal="right" vertical="center"/>
      <protection/>
    </xf>
    <xf numFmtId="0" fontId="1" fillId="34" borderId="14" xfId="57" applyFont="1" applyFill="1" applyBorder="1" applyAlignment="1">
      <alignment horizontal="center" vertical="center" wrapText="1"/>
      <protection/>
    </xf>
    <xf numFmtId="3" fontId="1" fillId="33" borderId="14" xfId="57" applyNumberFormat="1" applyFont="1" applyFill="1" applyBorder="1" applyAlignment="1">
      <alignment vertical="center" wrapText="1"/>
      <protection/>
    </xf>
    <xf numFmtId="3" fontId="1" fillId="34" borderId="14" xfId="57" applyNumberFormat="1" applyFont="1" applyFill="1" applyBorder="1" applyAlignment="1">
      <alignment horizontal="right" vertical="center"/>
      <protection/>
    </xf>
    <xf numFmtId="0" fontId="1" fillId="34" borderId="14" xfId="57" applyFont="1" applyFill="1" applyBorder="1" applyAlignment="1">
      <alignment vertical="center" wrapText="1"/>
      <protection/>
    </xf>
    <xf numFmtId="0" fontId="1" fillId="34" borderId="20" xfId="57" applyFont="1" applyFill="1" applyBorder="1" applyAlignment="1">
      <alignment horizontal="center"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3" fontId="1" fillId="34" borderId="20" xfId="57" applyNumberFormat="1" applyFont="1" applyFill="1" applyBorder="1" applyAlignment="1">
      <alignment horizontal="right" vertical="center"/>
      <protection/>
    </xf>
    <xf numFmtId="0" fontId="36" fillId="33" borderId="10" xfId="57" applyFont="1" applyFill="1" applyBorder="1" applyAlignment="1">
      <alignment horizontal="center" vertical="center"/>
      <protection/>
    </xf>
    <xf numFmtId="0" fontId="34" fillId="33" borderId="10" xfId="57" applyFont="1" applyFill="1" applyBorder="1">
      <alignment/>
      <protection/>
    </xf>
    <xf numFmtId="0" fontId="69" fillId="0" borderId="0" xfId="57" applyFill="1">
      <alignment/>
      <protection/>
    </xf>
    <xf numFmtId="3" fontId="69" fillId="0" borderId="0" xfId="57" applyNumberFormat="1" applyFill="1">
      <alignment/>
      <protection/>
    </xf>
    <xf numFmtId="3" fontId="8" fillId="0" borderId="0" xfId="57" applyNumberFormat="1" applyFont="1" applyFill="1">
      <alignment/>
      <protection/>
    </xf>
    <xf numFmtId="3" fontId="34" fillId="0" borderId="10" xfId="57" applyNumberFormat="1" applyFont="1" applyFill="1" applyBorder="1" applyAlignment="1">
      <alignment horizontal="center" vertical="center"/>
      <protection/>
    </xf>
    <xf numFmtId="3" fontId="34" fillId="0" borderId="10" xfId="57" applyNumberFormat="1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3" fontId="11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2" fillId="0" borderId="0" xfId="57" applyFont="1" applyFill="1">
      <alignment/>
      <protection/>
    </xf>
    <xf numFmtId="3" fontId="20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3" fontId="1" fillId="0" borderId="0" xfId="58" applyNumberFormat="1" applyFont="1" applyFill="1" applyAlignment="1">
      <alignment horizontal="center" vertical="center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14" fillId="0" borderId="14" xfId="57" applyFont="1" applyFill="1" applyBorder="1" applyAlignment="1">
      <alignment horizontal="center" vertical="center" wrapText="1"/>
      <protection/>
    </xf>
    <xf numFmtId="3" fontId="14" fillId="0" borderId="14" xfId="57" applyNumberFormat="1" applyFont="1" applyFill="1" applyBorder="1" applyAlignment="1">
      <alignment horizontal="center" vertical="center" wrapText="1"/>
      <protection/>
    </xf>
    <xf numFmtId="0" fontId="69" fillId="0" borderId="14" xfId="57" applyFill="1" applyBorder="1" applyAlignment="1">
      <alignment horizontal="center" vertical="center"/>
      <protection/>
    </xf>
    <xf numFmtId="3" fontId="22" fillId="0" borderId="14" xfId="57" applyNumberFormat="1" applyFont="1" applyFill="1" applyBorder="1" applyAlignment="1">
      <alignment horizontal="center" vertical="center" wrapText="1"/>
      <protection/>
    </xf>
    <xf numFmtId="3" fontId="14" fillId="0" borderId="14" xfId="58" applyNumberFormat="1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3" fontId="14" fillId="0" borderId="16" xfId="57" applyNumberFormat="1" applyFont="1" applyFill="1" applyBorder="1" applyAlignment="1">
      <alignment horizontal="center" vertical="center" wrapText="1"/>
      <protection/>
    </xf>
    <xf numFmtId="0" fontId="22" fillId="0" borderId="21" xfId="57" applyFont="1" applyFill="1" applyBorder="1" applyAlignment="1">
      <alignment horizontal="center" vertical="center" wrapText="1"/>
      <protection/>
    </xf>
    <xf numFmtId="0" fontId="14" fillId="0" borderId="21" xfId="57" applyFont="1" applyFill="1" applyBorder="1" applyAlignment="1">
      <alignment horizontal="center" vertical="center" wrapText="1"/>
      <protection/>
    </xf>
    <xf numFmtId="3" fontId="14" fillId="0" borderId="21" xfId="57" applyNumberFormat="1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69" fillId="0" borderId="16" xfId="57" applyFill="1" applyBorder="1" applyAlignment="1">
      <alignment horizontal="center" vertical="center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3" fontId="14" fillId="0" borderId="15" xfId="58" applyNumberFormat="1" applyFont="1" applyFill="1" applyBorder="1" applyAlignment="1">
      <alignment horizontal="center" vertical="center" wrapText="1"/>
      <protection/>
    </xf>
    <xf numFmtId="3" fontId="14" fillId="0" borderId="15" xfId="57" applyNumberFormat="1" applyFont="1" applyFill="1" applyBorder="1" applyAlignment="1">
      <alignment horizontal="center" vertical="center" wrapText="1"/>
      <protection/>
    </xf>
    <xf numFmtId="0" fontId="69" fillId="0" borderId="15" xfId="57" applyFill="1" applyBorder="1" applyAlignment="1">
      <alignment horizontal="center" vertical="center"/>
      <protection/>
    </xf>
    <xf numFmtId="0" fontId="34" fillId="33" borderId="10" xfId="57" applyFont="1" applyFill="1" applyBorder="1" applyAlignment="1">
      <alignment horizontal="center" vertical="center" wrapText="1"/>
      <protection/>
    </xf>
    <xf numFmtId="3" fontId="18" fillId="0" borderId="22" xfId="57" applyNumberFormat="1" applyFont="1" applyBorder="1" applyAlignment="1" quotePrefix="1">
      <alignment horizontal="right" vertical="center" wrapText="1"/>
      <protection/>
    </xf>
    <xf numFmtId="0" fontId="7" fillId="33" borderId="0" xfId="57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2" fillId="0" borderId="21" xfId="57" applyFont="1" applyFill="1" applyBorder="1" applyAlignment="1">
      <alignment horizontal="left" vertical="center" wrapText="1"/>
      <protection/>
    </xf>
    <xf numFmtId="0" fontId="14" fillId="33" borderId="16" xfId="58" applyFont="1" applyFill="1" applyBorder="1" applyAlignment="1">
      <alignment horizontal="left" vertical="center" wrapText="1"/>
      <protection/>
    </xf>
    <xf numFmtId="0" fontId="14" fillId="33" borderId="14" xfId="58" applyFont="1" applyFill="1" applyBorder="1" applyAlignment="1">
      <alignment horizontal="left" vertical="center" wrapText="1"/>
      <protection/>
    </xf>
    <xf numFmtId="0" fontId="14" fillId="33" borderId="15" xfId="58" applyFont="1" applyFill="1" applyBorder="1" applyAlignment="1">
      <alignment horizontal="left" vertical="center" wrapText="1"/>
      <protection/>
    </xf>
    <xf numFmtId="0" fontId="14" fillId="0" borderId="21" xfId="57" applyFont="1" applyFill="1" applyBorder="1" applyAlignment="1">
      <alignment horizontal="left" vertical="center" wrapText="1"/>
      <protection/>
    </xf>
    <xf numFmtId="0" fontId="14" fillId="33" borderId="21" xfId="57" applyFont="1" applyFill="1" applyBorder="1" applyAlignment="1">
      <alignment horizontal="left" vertical="center" wrapText="1"/>
      <protection/>
    </xf>
    <xf numFmtId="0" fontId="14" fillId="0" borderId="16" xfId="58" applyFont="1" applyBorder="1" applyAlignment="1">
      <alignment horizontal="left" vertical="center" wrapText="1"/>
      <protection/>
    </xf>
    <xf numFmtId="0" fontId="14" fillId="0" borderId="14" xfId="58" applyFont="1" applyBorder="1" applyAlignment="1">
      <alignment horizontal="left" vertical="center" wrapText="1"/>
      <protection/>
    </xf>
    <xf numFmtId="0" fontId="14" fillId="0" borderId="15" xfId="58" applyFont="1" applyBorder="1" applyAlignment="1">
      <alignment horizontal="left" vertical="center" wrapText="1"/>
      <protection/>
    </xf>
    <xf numFmtId="0" fontId="34" fillId="33" borderId="10" xfId="57" applyFont="1" applyFill="1" applyBorder="1" applyAlignment="1">
      <alignment vertical="center" wrapText="1"/>
      <protection/>
    </xf>
    <xf numFmtId="0" fontId="34" fillId="33" borderId="10" xfId="57" applyFont="1" applyFill="1" applyBorder="1" applyAlignment="1">
      <alignment horizontal="left" vertical="center"/>
      <protection/>
    </xf>
    <xf numFmtId="3" fontId="34" fillId="33" borderId="10" xfId="57" applyNumberFormat="1" applyFont="1" applyFill="1" applyBorder="1" applyAlignment="1">
      <alignment horizontal="right" vertical="center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21" fillId="33" borderId="12" xfId="57" applyFont="1" applyFill="1" applyBorder="1" applyAlignment="1">
      <alignment horizontal="center" vertical="center" wrapText="1"/>
      <protection/>
    </xf>
    <xf numFmtId="0" fontId="21" fillId="33" borderId="23" xfId="57" applyFont="1" applyFill="1" applyBorder="1" applyAlignment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34" fillId="33" borderId="10" xfId="57" applyFont="1" applyFill="1" applyBorder="1" applyAlignment="1">
      <alignment horizontal="center" vertical="center" wrapText="1"/>
      <protection/>
    </xf>
    <xf numFmtId="0" fontId="24" fillId="33" borderId="0" xfId="57" applyFont="1" applyFill="1" applyBorder="1" applyAlignment="1">
      <alignment horizontal="center" vertical="center" wrapText="1"/>
      <protection/>
    </xf>
    <xf numFmtId="0" fontId="24" fillId="33" borderId="0" xfId="57" applyFont="1" applyFill="1" applyAlignment="1">
      <alignment horizontal="center" vertical="center" wrapText="1"/>
      <protection/>
    </xf>
    <xf numFmtId="0" fontId="29" fillId="33" borderId="12" xfId="57" applyFont="1" applyFill="1" applyBorder="1" applyAlignment="1">
      <alignment horizontal="center" vertical="center" wrapText="1"/>
      <protection/>
    </xf>
    <xf numFmtId="0" fontId="29" fillId="33" borderId="23" xfId="57" applyFont="1" applyFill="1" applyBorder="1" applyAlignment="1">
      <alignment horizontal="center" vertical="center" wrapText="1"/>
      <protection/>
    </xf>
    <xf numFmtId="0" fontId="69" fillId="0" borderId="23" xfId="57" applyBorder="1" applyAlignment="1">
      <alignment horizontal="center" vertical="center" wrapText="1"/>
      <protection/>
    </xf>
    <xf numFmtId="0" fontId="69" fillId="0" borderId="22" xfId="57" applyBorder="1" applyAlignment="1">
      <alignment horizontal="center" vertical="center" wrapText="1"/>
      <protection/>
    </xf>
    <xf numFmtId="0" fontId="25" fillId="33" borderId="12" xfId="57" applyFont="1" applyFill="1" applyBorder="1" applyAlignment="1">
      <alignment horizontal="center" vertical="center" wrapText="1"/>
      <protection/>
    </xf>
    <xf numFmtId="0" fontId="25" fillId="33" borderId="22" xfId="57" applyFont="1" applyFill="1" applyBorder="1" applyAlignment="1">
      <alignment horizontal="center" vertical="center" wrapText="1"/>
      <protection/>
    </xf>
    <xf numFmtId="0" fontId="29" fillId="33" borderId="10" xfId="57" applyFont="1" applyFill="1" applyBorder="1" applyAlignment="1">
      <alignment horizontal="center" vertical="center" wrapText="1"/>
      <protection/>
    </xf>
    <xf numFmtId="0" fontId="69" fillId="0" borderId="10" xfId="57" applyBorder="1" applyAlignment="1">
      <alignment horizontal="center" vertical="center" wrapText="1"/>
      <protection/>
    </xf>
    <xf numFmtId="0" fontId="27" fillId="33" borderId="12" xfId="57" applyFont="1" applyFill="1" applyBorder="1" applyAlignment="1">
      <alignment horizontal="center" vertical="center" wrapText="1"/>
      <protection/>
    </xf>
    <xf numFmtId="0" fontId="27" fillId="33" borderId="22" xfId="57" applyFont="1" applyFill="1" applyBorder="1" applyAlignment="1">
      <alignment horizontal="center" vertical="center" wrapText="1"/>
      <protection/>
    </xf>
    <xf numFmtId="0" fontId="25" fillId="33" borderId="24" xfId="57" applyFont="1" applyFill="1" applyBorder="1" applyAlignment="1">
      <alignment horizontal="center" vertical="center" wrapText="1"/>
      <protection/>
    </xf>
    <xf numFmtId="0" fontId="25" fillId="33" borderId="2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5" fillId="33" borderId="10" xfId="57" applyFont="1" applyFill="1" applyBorder="1" applyAlignment="1">
      <alignment horizontal="center" vertical="center" wrapText="1"/>
      <protection/>
    </xf>
    <xf numFmtId="0" fontId="74" fillId="0" borderId="10" xfId="5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right" vertical="center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center" vertical="center" wrapText="1"/>
      <protection/>
    </xf>
    <xf numFmtId="3" fontId="34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left" vertical="center"/>
      <protection/>
    </xf>
    <xf numFmtId="0" fontId="2" fillId="33" borderId="22" xfId="57" applyFont="1" applyFill="1" applyBorder="1" applyAlignment="1">
      <alignment horizontal="left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0" fontId="3" fillId="0" borderId="11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view="pageLayout" zoomScaleNormal="130" workbookViewId="0" topLeftCell="A55">
      <selection activeCell="B1" sqref="B1:J1"/>
    </sheetView>
  </sheetViews>
  <sheetFormatPr defaultColWidth="9.140625" defaultRowHeight="12.75"/>
  <cols>
    <col min="1" max="1" width="6.57421875" style="10" customWidth="1"/>
    <col min="2" max="2" width="34.7109375" style="9" customWidth="1"/>
    <col min="3" max="3" width="14.28125" style="8" customWidth="1"/>
    <col min="4" max="4" width="13.8515625" style="8" customWidth="1"/>
    <col min="5" max="5" width="13.57421875" style="8" customWidth="1"/>
    <col min="6" max="6" width="12.421875" style="8" customWidth="1"/>
    <col min="7" max="7" width="7.28125" style="6" customWidth="1"/>
    <col min="8" max="8" width="4.8515625" style="6" hidden="1" customWidth="1"/>
    <col min="9" max="9" width="3.28125" style="6" hidden="1" customWidth="1"/>
    <col min="10" max="10" width="5.140625" style="6" hidden="1" customWidth="1"/>
    <col min="11" max="11" width="10.8515625" style="7" hidden="1" customWidth="1"/>
    <col min="12" max="12" width="3.140625" style="7" hidden="1" customWidth="1"/>
    <col min="13" max="13" width="4.8515625" style="7" hidden="1" customWidth="1"/>
    <col min="14" max="14" width="10.8515625" style="7" hidden="1" customWidth="1"/>
    <col min="15" max="15" width="3.421875" style="7" hidden="1" customWidth="1"/>
    <col min="16" max="16" width="6.00390625" style="7" hidden="1" customWidth="1"/>
    <col min="17" max="17" width="13.140625" style="7" hidden="1" customWidth="1"/>
    <col min="18" max="18" width="3.28125" style="6" hidden="1" customWidth="1"/>
    <col min="19" max="19" width="5.57421875" style="6" hidden="1" customWidth="1"/>
    <col min="20" max="20" width="13.421875" style="6" hidden="1" customWidth="1"/>
    <col min="21" max="21" width="2.8515625" style="6" hidden="1" customWidth="1"/>
    <col min="22" max="22" width="5.7109375" style="6" hidden="1" customWidth="1"/>
    <col min="23" max="23" width="13.8515625" style="6" hidden="1" customWidth="1"/>
    <col min="24" max="24" width="5.00390625" style="6" hidden="1" customWidth="1"/>
    <col min="25" max="25" width="6.140625" style="6" hidden="1" customWidth="1"/>
    <col min="26" max="26" width="14.00390625" style="6" hidden="1" customWidth="1"/>
    <col min="27" max="27" width="4.8515625" style="6" hidden="1" customWidth="1"/>
    <col min="28" max="28" width="7.140625" style="6" hidden="1" customWidth="1"/>
    <col min="29" max="29" width="13.57421875" style="6" hidden="1" customWidth="1"/>
    <col min="30" max="30" width="5.140625" style="6" hidden="1" customWidth="1"/>
    <col min="31" max="31" width="5.57421875" style="6" hidden="1" customWidth="1"/>
    <col min="32" max="32" width="13.57421875" style="6" hidden="1" customWidth="1"/>
    <col min="33" max="33" width="3.7109375" style="6" hidden="1" customWidth="1"/>
    <col min="34" max="34" width="4.421875" style="6" hidden="1" customWidth="1"/>
    <col min="35" max="35" width="13.57421875" style="6" hidden="1" customWidth="1"/>
    <col min="36" max="36" width="3.00390625" style="6" hidden="1" customWidth="1"/>
    <col min="37" max="37" width="2.8515625" style="6" hidden="1" customWidth="1"/>
    <col min="38" max="38" width="3.00390625" style="6" hidden="1" customWidth="1"/>
    <col min="39" max="39" width="4.421875" style="6" hidden="1" customWidth="1"/>
    <col min="40" max="40" width="5.8515625" style="6" hidden="1" customWidth="1"/>
    <col min="41" max="41" width="11.140625" style="6" hidden="1" customWidth="1"/>
    <col min="42" max="42" width="3.421875" style="6" hidden="1" customWidth="1"/>
    <col min="43" max="43" width="3.28125" style="6" hidden="1" customWidth="1"/>
    <col min="44" max="44" width="2.7109375" style="6" hidden="1" customWidth="1"/>
    <col min="45" max="45" width="4.421875" style="6" hidden="1" customWidth="1"/>
    <col min="46" max="46" width="5.140625" style="6" hidden="1" customWidth="1"/>
    <col min="47" max="47" width="12.8515625" style="6" hidden="1" customWidth="1"/>
    <col min="48" max="49" width="3.421875" style="6" hidden="1" customWidth="1"/>
    <col min="50" max="50" width="2.7109375" style="6" hidden="1" customWidth="1"/>
    <col min="51" max="51" width="5.00390625" style="6" hidden="1" customWidth="1"/>
    <col min="52" max="52" width="5.421875" style="6" hidden="1" customWidth="1"/>
    <col min="53" max="53" width="14.00390625" style="6" hidden="1" customWidth="1"/>
    <col min="54" max="54" width="3.140625" style="6" hidden="1" customWidth="1"/>
    <col min="55" max="55" width="2.8515625" style="6" hidden="1" customWidth="1"/>
    <col min="56" max="56" width="3.00390625" style="6" hidden="1" customWidth="1"/>
    <col min="57" max="57" width="4.7109375" style="6" hidden="1" customWidth="1"/>
    <col min="58" max="58" width="5.140625" style="6" hidden="1" customWidth="1"/>
    <col min="59" max="59" width="14.00390625" style="6" hidden="1" customWidth="1"/>
    <col min="60" max="60" width="4.421875" style="6" hidden="1" customWidth="1"/>
    <col min="61" max="61" width="5.28125" style="6" hidden="1" customWidth="1"/>
    <col min="62" max="62" width="4.421875" style="6" hidden="1" customWidth="1"/>
    <col min="63" max="63" width="5.00390625" style="6" hidden="1" customWidth="1"/>
    <col min="64" max="64" width="12.8515625" style="6" hidden="1" customWidth="1"/>
    <col min="65" max="66" width="5.140625" style="6" hidden="1" customWidth="1"/>
    <col min="67" max="67" width="4.8515625" style="6" hidden="1" customWidth="1"/>
    <col min="68" max="68" width="5.8515625" style="6" hidden="1" customWidth="1"/>
    <col min="69" max="69" width="12.8515625" style="6" hidden="1" customWidth="1"/>
    <col min="70" max="70" width="3.421875" style="6" hidden="1" customWidth="1"/>
    <col min="71" max="71" width="3.57421875" style="6" hidden="1" customWidth="1"/>
    <col min="72" max="72" width="2.7109375" style="6" hidden="1" customWidth="1"/>
    <col min="73" max="74" width="5.140625" style="6" hidden="1" customWidth="1"/>
    <col min="75" max="75" width="5.8515625" style="6" hidden="1" customWidth="1"/>
    <col min="76" max="76" width="11.7109375" style="6" hidden="1" customWidth="1"/>
    <col min="77" max="77" width="3.421875" style="6" hidden="1" customWidth="1"/>
    <col min="78" max="78" width="3.140625" style="6" hidden="1" customWidth="1"/>
    <col min="79" max="79" width="2.8515625" style="6" hidden="1" customWidth="1"/>
    <col min="80" max="80" width="4.57421875" style="6" hidden="1" customWidth="1"/>
    <col min="81" max="81" width="4.8515625" style="6" hidden="1" customWidth="1"/>
    <col min="82" max="82" width="5.421875" style="6" hidden="1" customWidth="1"/>
    <col min="83" max="83" width="0" style="6" hidden="1" customWidth="1"/>
    <col min="84" max="84" width="3.00390625" style="6" hidden="1" customWidth="1"/>
    <col min="85" max="85" width="3.140625" style="6" hidden="1" customWidth="1"/>
    <col min="86" max="86" width="2.8515625" style="6" hidden="1" customWidth="1"/>
    <col min="87" max="87" width="4.7109375" style="6" hidden="1" customWidth="1"/>
    <col min="88" max="88" width="5.28125" style="6" hidden="1" customWidth="1"/>
    <col min="89" max="89" width="5.140625" style="6" hidden="1" customWidth="1"/>
    <col min="90" max="90" width="11.8515625" style="6" hidden="1" customWidth="1"/>
    <col min="91" max="91" width="2.8515625" style="6" hidden="1" customWidth="1"/>
    <col min="92" max="92" width="3.28125" style="6" hidden="1" customWidth="1"/>
    <col min="93" max="93" width="3.00390625" style="6" hidden="1" customWidth="1"/>
    <col min="94" max="95" width="5.00390625" style="6" hidden="1" customWidth="1"/>
    <col min="96" max="96" width="6.00390625" style="6" hidden="1" customWidth="1"/>
    <col min="97" max="97" width="13.8515625" style="6" hidden="1" customWidth="1"/>
    <col min="98" max="98" width="3.28125" style="6" hidden="1" customWidth="1"/>
    <col min="99" max="100" width="2.8515625" style="6" hidden="1" customWidth="1"/>
    <col min="101" max="103" width="5.140625" style="6" hidden="1" customWidth="1"/>
    <col min="104" max="104" width="13.28125" style="6" hidden="1" customWidth="1"/>
    <col min="105" max="105" width="3.00390625" style="6" hidden="1" customWidth="1"/>
    <col min="106" max="106" width="3.421875" style="6" hidden="1" customWidth="1"/>
    <col min="107" max="107" width="2.7109375" style="6" hidden="1" customWidth="1"/>
    <col min="108" max="108" width="5.140625" style="6" hidden="1" customWidth="1"/>
    <col min="109" max="109" width="4.8515625" style="6" hidden="1" customWidth="1"/>
    <col min="110" max="110" width="4.7109375" style="6" hidden="1" customWidth="1"/>
    <col min="111" max="111" width="13.28125" style="6" hidden="1" customWidth="1"/>
    <col min="112" max="113" width="5.140625" style="6" customWidth="1"/>
    <col min="114" max="114" width="9.140625" style="6" customWidth="1"/>
    <col min="115" max="115" width="0" style="6" hidden="1" customWidth="1"/>
    <col min="116" max="116" width="5.421875" style="6" hidden="1" customWidth="1"/>
    <col min="117" max="117" width="0" style="6" hidden="1" customWidth="1"/>
    <col min="118" max="118" width="7.8515625" style="6" hidden="1" customWidth="1"/>
    <col min="119" max="119" width="0" style="6" hidden="1" customWidth="1"/>
    <col min="120" max="120" width="6.421875" style="6" hidden="1" customWidth="1"/>
    <col min="121" max="121" width="0" style="6" hidden="1" customWidth="1"/>
    <col min="122" max="122" width="7.7109375" style="6" hidden="1" customWidth="1"/>
    <col min="123" max="123" width="16.7109375" style="6" hidden="1" customWidth="1"/>
    <col min="124" max="124" width="6.57421875" style="6" hidden="1" customWidth="1"/>
    <col min="125" max="125" width="10.57421875" style="6" hidden="1" customWidth="1"/>
    <col min="126" max="126" width="7.7109375" style="6" hidden="1" customWidth="1"/>
    <col min="127" max="127" width="10.421875" style="6" hidden="1" customWidth="1"/>
    <col min="128" max="128" width="6.28125" style="6" hidden="1" customWidth="1"/>
    <col min="129" max="129" width="11.57421875" style="6" hidden="1" customWidth="1"/>
    <col min="130" max="130" width="7.7109375" style="6" hidden="1" customWidth="1"/>
    <col min="131" max="131" width="9.00390625" style="6" hidden="1" customWidth="1"/>
    <col min="132" max="132" width="16.421875" style="6" hidden="1" customWidth="1"/>
    <col min="133" max="137" width="0" style="6" hidden="1" customWidth="1"/>
    <col min="138" max="16384" width="9.140625" style="6" customWidth="1"/>
  </cols>
  <sheetData>
    <row r="1" spans="2:10" s="3" customFormat="1" ht="15.75">
      <c r="B1" s="177" t="s">
        <v>162</v>
      </c>
      <c r="C1" s="177"/>
      <c r="D1" s="177"/>
      <c r="E1" s="177"/>
      <c r="F1" s="177"/>
      <c r="G1" s="177"/>
      <c r="H1" s="177"/>
      <c r="I1" s="177"/>
      <c r="J1" s="177"/>
    </row>
    <row r="2" spans="1:14" s="3" customFormat="1" ht="48.75" customHeight="1">
      <c r="A2" s="178" t="s">
        <v>161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45"/>
      <c r="M2" s="45"/>
      <c r="N2" s="45"/>
    </row>
    <row r="3" spans="1:11" s="3" customFormat="1" ht="15.75">
      <c r="A3" s="179" t="s">
        <v>163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3" customFormat="1" ht="15.75">
      <c r="A4" s="50"/>
      <c r="B4" s="50"/>
      <c r="F4" s="182" t="s">
        <v>130</v>
      </c>
      <c r="G4" s="182"/>
      <c r="H4" s="5" t="s">
        <v>29</v>
      </c>
      <c r="I4" s="5"/>
      <c r="J4" s="5" t="s">
        <v>32</v>
      </c>
      <c r="K4" s="5"/>
    </row>
    <row r="5" spans="1:137" ht="26.25" customHeight="1">
      <c r="A5" s="162" t="s">
        <v>0</v>
      </c>
      <c r="B5" s="162" t="s">
        <v>142</v>
      </c>
      <c r="C5" s="162" t="s">
        <v>140</v>
      </c>
      <c r="D5" s="180" t="s">
        <v>105</v>
      </c>
      <c r="E5" s="180"/>
      <c r="F5" s="181"/>
      <c r="G5" s="162" t="s">
        <v>18</v>
      </c>
      <c r="I5" s="159" t="s">
        <v>104</v>
      </c>
      <c r="J5" s="160"/>
      <c r="K5" s="161"/>
      <c r="L5" s="159" t="s">
        <v>103</v>
      </c>
      <c r="M5" s="160"/>
      <c r="N5" s="161"/>
      <c r="O5" s="159" t="s">
        <v>102</v>
      </c>
      <c r="P5" s="160"/>
      <c r="Q5" s="161"/>
      <c r="R5" s="159" t="s">
        <v>101</v>
      </c>
      <c r="S5" s="160"/>
      <c r="T5" s="161"/>
      <c r="U5" s="159" t="s">
        <v>100</v>
      </c>
      <c r="V5" s="160"/>
      <c r="W5" s="161"/>
      <c r="X5" s="159" t="s">
        <v>99</v>
      </c>
      <c r="Y5" s="160"/>
      <c r="Z5" s="161"/>
      <c r="AA5" s="159" t="s">
        <v>98</v>
      </c>
      <c r="AB5" s="160"/>
      <c r="AC5" s="161"/>
      <c r="AD5" s="159" t="s">
        <v>97</v>
      </c>
      <c r="AE5" s="160"/>
      <c r="AF5" s="161"/>
      <c r="AG5" s="159" t="s">
        <v>96</v>
      </c>
      <c r="AH5" s="160"/>
      <c r="AI5" s="161"/>
      <c r="AJ5" s="159" t="s">
        <v>95</v>
      </c>
      <c r="AK5" s="160"/>
      <c r="AL5" s="160"/>
      <c r="AM5" s="160"/>
      <c r="AN5" s="160"/>
      <c r="AO5" s="161"/>
      <c r="AP5" s="159" t="s">
        <v>94</v>
      </c>
      <c r="AQ5" s="160"/>
      <c r="AR5" s="160"/>
      <c r="AS5" s="160"/>
      <c r="AT5" s="160"/>
      <c r="AU5" s="161"/>
      <c r="AV5" s="159" t="s">
        <v>93</v>
      </c>
      <c r="AW5" s="160"/>
      <c r="AX5" s="160"/>
      <c r="AY5" s="160"/>
      <c r="AZ5" s="160"/>
      <c r="BA5" s="161"/>
      <c r="BB5" s="159" t="s">
        <v>92</v>
      </c>
      <c r="BC5" s="160"/>
      <c r="BD5" s="160"/>
      <c r="BE5" s="160"/>
      <c r="BF5" s="160"/>
      <c r="BG5" s="161"/>
      <c r="BH5" s="159" t="s">
        <v>91</v>
      </c>
      <c r="BI5" s="160"/>
      <c r="BJ5" s="160"/>
      <c r="BK5" s="160"/>
      <c r="BL5" s="161"/>
      <c r="BM5" s="159" t="s">
        <v>90</v>
      </c>
      <c r="BN5" s="160"/>
      <c r="BO5" s="160"/>
      <c r="BP5" s="160"/>
      <c r="BQ5" s="161"/>
      <c r="BR5" s="159" t="s">
        <v>89</v>
      </c>
      <c r="BS5" s="160"/>
      <c r="BT5" s="160"/>
      <c r="BU5" s="160"/>
      <c r="BV5" s="160"/>
      <c r="BW5" s="160"/>
      <c r="BX5" s="161"/>
      <c r="BY5" s="159" t="s">
        <v>88</v>
      </c>
      <c r="BZ5" s="160"/>
      <c r="CA5" s="160"/>
      <c r="CB5" s="160"/>
      <c r="CC5" s="160"/>
      <c r="CD5" s="160"/>
      <c r="CE5" s="161"/>
      <c r="CF5" s="159" t="s">
        <v>87</v>
      </c>
      <c r="CG5" s="160"/>
      <c r="CH5" s="160"/>
      <c r="CI5" s="160"/>
      <c r="CJ5" s="160"/>
      <c r="CK5" s="160"/>
      <c r="CL5" s="161"/>
      <c r="CM5" s="159" t="s">
        <v>86</v>
      </c>
      <c r="CN5" s="160"/>
      <c r="CO5" s="160"/>
      <c r="CP5" s="160"/>
      <c r="CQ5" s="160"/>
      <c r="CR5" s="160"/>
      <c r="CS5" s="161"/>
      <c r="CT5" s="159" t="s">
        <v>85</v>
      </c>
      <c r="CU5" s="160"/>
      <c r="CV5" s="160"/>
      <c r="CW5" s="160"/>
      <c r="CX5" s="160"/>
      <c r="CY5" s="160"/>
      <c r="CZ5" s="161"/>
      <c r="DA5" s="159" t="s">
        <v>84</v>
      </c>
      <c r="DB5" s="160"/>
      <c r="DC5" s="160"/>
      <c r="DD5" s="160"/>
      <c r="DE5" s="160"/>
      <c r="DF5" s="160"/>
      <c r="DG5" s="160"/>
      <c r="DH5" s="47"/>
      <c r="DI5" s="44"/>
      <c r="DK5" s="165" t="s">
        <v>83</v>
      </c>
      <c r="DL5" s="166"/>
      <c r="DM5" s="166"/>
      <c r="DN5" s="166"/>
      <c r="DO5" s="166"/>
      <c r="DP5" s="166"/>
      <c r="DQ5" s="166"/>
      <c r="DR5" s="166"/>
      <c r="DS5" s="166"/>
      <c r="DT5" s="167"/>
      <c r="DU5" s="167"/>
      <c r="DV5" s="167"/>
      <c r="DW5" s="167"/>
      <c r="DX5" s="167"/>
      <c r="DY5" s="167"/>
      <c r="DZ5" s="167"/>
      <c r="EA5" s="168"/>
      <c r="EB5" s="171" t="s">
        <v>31</v>
      </c>
      <c r="EC5" s="163" t="s">
        <v>82</v>
      </c>
      <c r="ED5" s="164"/>
      <c r="EE5" s="164"/>
      <c r="EF5" s="164"/>
      <c r="EG5" s="164"/>
    </row>
    <row r="6" spans="1:137" s="31" customFormat="1" ht="33" customHeight="1">
      <c r="A6" s="162"/>
      <c r="B6" s="162"/>
      <c r="C6" s="162"/>
      <c r="D6" s="142" t="s">
        <v>81</v>
      </c>
      <c r="E6" s="142" t="s">
        <v>80</v>
      </c>
      <c r="F6" s="142" t="s">
        <v>79</v>
      </c>
      <c r="G6" s="162"/>
      <c r="I6" s="35" t="s">
        <v>74</v>
      </c>
      <c r="J6" s="35" t="s">
        <v>69</v>
      </c>
      <c r="K6" s="36" t="s">
        <v>68</v>
      </c>
      <c r="L6" s="35" t="s">
        <v>74</v>
      </c>
      <c r="M6" s="35" t="s">
        <v>69</v>
      </c>
      <c r="N6" s="36" t="s">
        <v>68</v>
      </c>
      <c r="O6" s="35" t="s">
        <v>74</v>
      </c>
      <c r="P6" s="35" t="s">
        <v>69</v>
      </c>
      <c r="Q6" s="36" t="s">
        <v>68</v>
      </c>
      <c r="R6" s="35" t="s">
        <v>74</v>
      </c>
      <c r="S6" s="35" t="s">
        <v>69</v>
      </c>
      <c r="T6" s="35" t="s">
        <v>68</v>
      </c>
      <c r="U6" s="35" t="s">
        <v>74</v>
      </c>
      <c r="V6" s="35" t="s">
        <v>69</v>
      </c>
      <c r="W6" s="35" t="s">
        <v>68</v>
      </c>
      <c r="X6" s="35" t="s">
        <v>74</v>
      </c>
      <c r="Y6" s="35" t="s">
        <v>69</v>
      </c>
      <c r="Z6" s="35" t="s">
        <v>68</v>
      </c>
      <c r="AA6" s="35" t="s">
        <v>74</v>
      </c>
      <c r="AB6" s="35" t="s">
        <v>69</v>
      </c>
      <c r="AC6" s="35" t="s">
        <v>68</v>
      </c>
      <c r="AD6" s="35" t="s">
        <v>74</v>
      </c>
      <c r="AE6" s="35" t="s">
        <v>69</v>
      </c>
      <c r="AF6" s="35" t="s">
        <v>68</v>
      </c>
      <c r="AG6" s="35" t="s">
        <v>74</v>
      </c>
      <c r="AH6" s="35" t="s">
        <v>69</v>
      </c>
      <c r="AI6" s="35" t="s">
        <v>68</v>
      </c>
      <c r="AJ6" s="35" t="s">
        <v>74</v>
      </c>
      <c r="AK6" s="35" t="s">
        <v>73</v>
      </c>
      <c r="AL6" s="35" t="s">
        <v>72</v>
      </c>
      <c r="AM6" s="35" t="s">
        <v>78</v>
      </c>
      <c r="AN6" s="35" t="s">
        <v>69</v>
      </c>
      <c r="AO6" s="35" t="s">
        <v>68</v>
      </c>
      <c r="AP6" s="35" t="s">
        <v>74</v>
      </c>
      <c r="AQ6" s="35" t="s">
        <v>73</v>
      </c>
      <c r="AR6" s="35" t="s">
        <v>72</v>
      </c>
      <c r="AS6" s="35" t="s">
        <v>71</v>
      </c>
      <c r="AT6" s="35" t="s">
        <v>69</v>
      </c>
      <c r="AU6" s="35" t="s">
        <v>68</v>
      </c>
      <c r="AV6" s="35" t="s">
        <v>74</v>
      </c>
      <c r="AW6" s="35" t="s">
        <v>73</v>
      </c>
      <c r="AX6" s="35" t="s">
        <v>72</v>
      </c>
      <c r="AY6" s="35" t="s">
        <v>71</v>
      </c>
      <c r="AZ6" s="35" t="s">
        <v>69</v>
      </c>
      <c r="BA6" s="35" t="s">
        <v>68</v>
      </c>
      <c r="BB6" s="35" t="s">
        <v>74</v>
      </c>
      <c r="BC6" s="35" t="s">
        <v>73</v>
      </c>
      <c r="BD6" s="35" t="s">
        <v>72</v>
      </c>
      <c r="BE6" s="35" t="s">
        <v>71</v>
      </c>
      <c r="BF6" s="35" t="s">
        <v>69</v>
      </c>
      <c r="BG6" s="35" t="s">
        <v>68</v>
      </c>
      <c r="BH6" s="35" t="s">
        <v>77</v>
      </c>
      <c r="BI6" s="35" t="s">
        <v>70</v>
      </c>
      <c r="BJ6" s="35" t="s">
        <v>76</v>
      </c>
      <c r="BK6" s="35" t="s">
        <v>69</v>
      </c>
      <c r="BL6" s="35" t="s">
        <v>68</v>
      </c>
      <c r="BM6" s="35" t="s">
        <v>77</v>
      </c>
      <c r="BN6" s="35" t="s">
        <v>70</v>
      </c>
      <c r="BO6" s="35" t="s">
        <v>76</v>
      </c>
      <c r="BP6" s="35" t="s">
        <v>69</v>
      </c>
      <c r="BQ6" s="35" t="s">
        <v>68</v>
      </c>
      <c r="BR6" s="35" t="s">
        <v>74</v>
      </c>
      <c r="BS6" s="35" t="s">
        <v>73</v>
      </c>
      <c r="BT6" s="35" t="s">
        <v>72</v>
      </c>
      <c r="BU6" s="35" t="s">
        <v>71</v>
      </c>
      <c r="BV6" s="35" t="s">
        <v>70</v>
      </c>
      <c r="BW6" s="35" t="s">
        <v>69</v>
      </c>
      <c r="BX6" s="35" t="s">
        <v>68</v>
      </c>
      <c r="BY6" s="35" t="s">
        <v>74</v>
      </c>
      <c r="BZ6" s="35" t="s">
        <v>73</v>
      </c>
      <c r="CA6" s="35" t="s">
        <v>72</v>
      </c>
      <c r="CB6" s="35" t="s">
        <v>71</v>
      </c>
      <c r="CC6" s="35" t="s">
        <v>70</v>
      </c>
      <c r="CD6" s="35" t="s">
        <v>69</v>
      </c>
      <c r="CE6" s="35" t="s">
        <v>68</v>
      </c>
      <c r="CF6" s="35" t="s">
        <v>74</v>
      </c>
      <c r="CG6" s="35" t="s">
        <v>73</v>
      </c>
      <c r="CH6" s="35" t="s">
        <v>72</v>
      </c>
      <c r="CI6" s="35" t="s">
        <v>71</v>
      </c>
      <c r="CJ6" s="35" t="s">
        <v>70</v>
      </c>
      <c r="CK6" s="35" t="s">
        <v>69</v>
      </c>
      <c r="CL6" s="35" t="s">
        <v>68</v>
      </c>
      <c r="CM6" s="35" t="s">
        <v>74</v>
      </c>
      <c r="CN6" s="35" t="s">
        <v>73</v>
      </c>
      <c r="CO6" s="35" t="s">
        <v>72</v>
      </c>
      <c r="CP6" s="35" t="s">
        <v>71</v>
      </c>
      <c r="CQ6" s="35" t="s">
        <v>70</v>
      </c>
      <c r="CR6" s="35" t="s">
        <v>69</v>
      </c>
      <c r="CS6" s="35" t="s">
        <v>68</v>
      </c>
      <c r="CT6" s="35" t="s">
        <v>74</v>
      </c>
      <c r="CU6" s="35" t="s">
        <v>73</v>
      </c>
      <c r="CV6" s="35" t="s">
        <v>72</v>
      </c>
      <c r="CW6" s="35" t="s">
        <v>71</v>
      </c>
      <c r="CX6" s="35" t="s">
        <v>70</v>
      </c>
      <c r="CY6" s="35" t="s">
        <v>69</v>
      </c>
      <c r="CZ6" s="35" t="s">
        <v>75</v>
      </c>
      <c r="DA6" s="35" t="s">
        <v>74</v>
      </c>
      <c r="DB6" s="35" t="s">
        <v>73</v>
      </c>
      <c r="DC6" s="35" t="s">
        <v>72</v>
      </c>
      <c r="DD6" s="35" t="s">
        <v>71</v>
      </c>
      <c r="DE6" s="35" t="s">
        <v>70</v>
      </c>
      <c r="DF6" s="35" t="s">
        <v>69</v>
      </c>
      <c r="DG6" s="46" t="s">
        <v>68</v>
      </c>
      <c r="DH6" s="47"/>
      <c r="DI6" s="44"/>
      <c r="DK6" s="175" t="s">
        <v>67</v>
      </c>
      <c r="DL6" s="169" t="s">
        <v>66</v>
      </c>
      <c r="DM6" s="170"/>
      <c r="DN6" s="169" t="s">
        <v>65</v>
      </c>
      <c r="DO6" s="170"/>
      <c r="DP6" s="169" t="s">
        <v>64</v>
      </c>
      <c r="DQ6" s="170"/>
      <c r="DR6" s="169" t="s">
        <v>63</v>
      </c>
      <c r="DS6" s="170"/>
      <c r="DT6" s="173" t="s">
        <v>62</v>
      </c>
      <c r="DU6" s="174"/>
      <c r="DV6" s="173" t="s">
        <v>61</v>
      </c>
      <c r="DW6" s="174"/>
      <c r="DX6" s="173" t="s">
        <v>60</v>
      </c>
      <c r="DY6" s="174"/>
      <c r="DZ6" s="173" t="s">
        <v>59</v>
      </c>
      <c r="EA6" s="174"/>
      <c r="EB6" s="172"/>
      <c r="EC6" s="40" t="s">
        <v>58</v>
      </c>
      <c r="ED6" s="40" t="s">
        <v>57</v>
      </c>
      <c r="EE6" s="40" t="s">
        <v>56</v>
      </c>
      <c r="EF6" s="40" t="s">
        <v>55</v>
      </c>
      <c r="EG6" s="40" t="s">
        <v>54</v>
      </c>
    </row>
    <row r="7" spans="1:137" s="31" customFormat="1" ht="35.25" customHeight="1">
      <c r="A7" s="68" t="s">
        <v>53</v>
      </c>
      <c r="B7" s="155" t="s">
        <v>143</v>
      </c>
      <c r="C7" s="69">
        <f aca="true" t="shared" si="0" ref="C7:C25">SUM(D7:F7)</f>
        <v>448294000</v>
      </c>
      <c r="D7" s="69">
        <f>SUM(D8:D25)</f>
        <v>341320000</v>
      </c>
      <c r="E7" s="69">
        <f>SUM(E8:E25)</f>
        <v>105174000</v>
      </c>
      <c r="F7" s="69">
        <f>SUM(F8:F25)</f>
        <v>1800000</v>
      </c>
      <c r="G7" s="63"/>
      <c r="I7" s="35"/>
      <c r="J7" s="35"/>
      <c r="K7" s="34"/>
      <c r="L7" s="34"/>
      <c r="M7" s="34"/>
      <c r="N7" s="34"/>
      <c r="O7" s="36">
        <f>SUM(O8:O59)</f>
        <v>17</v>
      </c>
      <c r="P7" s="36"/>
      <c r="Q7" s="36"/>
      <c r="R7" s="36">
        <f>SUM(R8:R59)</f>
        <v>0</v>
      </c>
      <c r="S7" s="36"/>
      <c r="T7" s="36"/>
      <c r="U7" s="36">
        <f>SUM(U8:U59)</f>
        <v>0</v>
      </c>
      <c r="V7" s="36"/>
      <c r="W7" s="36"/>
      <c r="X7" s="36">
        <f>SUM(X8:X59)</f>
        <v>1</v>
      </c>
      <c r="Y7" s="36"/>
      <c r="Z7" s="36"/>
      <c r="AA7" s="36">
        <f>SUM(AA8:AA59)</f>
        <v>0</v>
      </c>
      <c r="AB7" s="36"/>
      <c r="AC7" s="36"/>
      <c r="AD7" s="36">
        <f>SUM(AD8:AD59)</f>
        <v>14</v>
      </c>
      <c r="AE7" s="36"/>
      <c r="AF7" s="36"/>
      <c r="AG7" s="36">
        <f>SUM(AG8:AG59)</f>
        <v>26</v>
      </c>
      <c r="AH7" s="36"/>
      <c r="AI7" s="43" t="s">
        <v>52</v>
      </c>
      <c r="AJ7" s="36">
        <f>SUM(AJ8:AJ59)</f>
        <v>0</v>
      </c>
      <c r="AK7" s="36"/>
      <c r="AL7" s="36"/>
      <c r="AM7" s="36"/>
      <c r="AN7" s="36"/>
      <c r="AO7" s="36"/>
      <c r="AP7" s="36">
        <f>SUM(AP8:AP59)</f>
        <v>0</v>
      </c>
      <c r="AQ7" s="36"/>
      <c r="AR7" s="36"/>
      <c r="AS7" s="36"/>
      <c r="AT7" s="36"/>
      <c r="AU7" s="36"/>
      <c r="AV7" s="36">
        <f>SUM(AV8:AV59)</f>
        <v>71</v>
      </c>
      <c r="AW7" s="36"/>
      <c r="AX7" s="36"/>
      <c r="AY7" s="36"/>
      <c r="AZ7" s="36"/>
      <c r="BA7" s="36"/>
      <c r="BB7" s="36">
        <f>SUM(BB8:BB59)</f>
        <v>58</v>
      </c>
      <c r="BC7" s="36"/>
      <c r="BD7" s="36"/>
      <c r="BE7" s="36"/>
      <c r="BF7" s="36"/>
      <c r="BG7" s="36" t="s">
        <v>51</v>
      </c>
      <c r="BH7" s="36">
        <f>SUM(BH8:BH59)</f>
        <v>2</v>
      </c>
      <c r="BI7" s="36"/>
      <c r="BJ7" s="36"/>
      <c r="BK7" s="36"/>
      <c r="BL7" s="36"/>
      <c r="BM7" s="36">
        <f>SUM(BM8:BM59)</f>
        <v>27</v>
      </c>
      <c r="BN7" s="36"/>
      <c r="BO7" s="36"/>
      <c r="BP7" s="36"/>
      <c r="BQ7" s="36"/>
      <c r="BR7" s="36">
        <f>SUM(BR8:BR59)</f>
        <v>23</v>
      </c>
      <c r="BS7" s="36"/>
      <c r="BT7" s="36"/>
      <c r="BU7" s="36"/>
      <c r="BV7" s="36"/>
      <c r="BW7" s="36"/>
      <c r="BX7" s="36"/>
      <c r="BY7" s="36">
        <f>SUM(BY8:BY59)</f>
        <v>0</v>
      </c>
      <c r="BZ7" s="36"/>
      <c r="CA7" s="36"/>
      <c r="CB7" s="36"/>
      <c r="CC7" s="36"/>
      <c r="CD7" s="36"/>
      <c r="CE7" s="36"/>
      <c r="CF7" s="36">
        <f>SUM(CF8:CF59)</f>
        <v>14</v>
      </c>
      <c r="CG7" s="36"/>
      <c r="CH7" s="36"/>
      <c r="CI7" s="36"/>
      <c r="CJ7" s="36"/>
      <c r="CK7" s="36"/>
      <c r="CL7" s="36"/>
      <c r="CM7" s="36">
        <f>SUM(CM8:CM59)</f>
        <v>0</v>
      </c>
      <c r="CN7" s="36"/>
      <c r="CO7" s="36"/>
      <c r="CP7" s="36"/>
      <c r="CQ7" s="36"/>
      <c r="CR7" s="36"/>
      <c r="CS7" s="36"/>
      <c r="CT7" s="36">
        <f>SUM(CT8:CT59)</f>
        <v>0</v>
      </c>
      <c r="CU7" s="36"/>
      <c r="CV7" s="36"/>
      <c r="CW7" s="36"/>
      <c r="CX7" s="36"/>
      <c r="CY7" s="36"/>
      <c r="CZ7" s="36"/>
      <c r="DA7" s="35"/>
      <c r="DB7" s="35"/>
      <c r="DC7" s="35"/>
      <c r="DD7" s="35"/>
      <c r="DE7" s="35"/>
      <c r="DF7" s="35"/>
      <c r="DG7" s="35"/>
      <c r="DH7" s="42"/>
      <c r="DI7" s="42"/>
      <c r="DK7" s="176"/>
      <c r="DL7" s="41" t="s">
        <v>50</v>
      </c>
      <c r="DM7" s="41" t="s">
        <v>1</v>
      </c>
      <c r="DN7" s="41" t="s">
        <v>49</v>
      </c>
      <c r="DO7" s="41" t="s">
        <v>1</v>
      </c>
      <c r="DP7" s="41" t="s">
        <v>50</v>
      </c>
      <c r="DQ7" s="41" t="s">
        <v>1</v>
      </c>
      <c r="DR7" s="41" t="s">
        <v>49</v>
      </c>
      <c r="DS7" s="41" t="s">
        <v>1</v>
      </c>
      <c r="DT7" s="41" t="s">
        <v>48</v>
      </c>
      <c r="DU7" s="41" t="s">
        <v>1</v>
      </c>
      <c r="DV7" s="41" t="s">
        <v>49</v>
      </c>
      <c r="DW7" s="41" t="s">
        <v>1</v>
      </c>
      <c r="DX7" s="41" t="s">
        <v>48</v>
      </c>
      <c r="DY7" s="41" t="s">
        <v>1</v>
      </c>
      <c r="DZ7" s="41" t="s">
        <v>47</v>
      </c>
      <c r="EA7" s="41" t="s">
        <v>1</v>
      </c>
      <c r="EB7" s="41"/>
      <c r="EC7" s="40"/>
      <c r="ED7" s="40"/>
      <c r="EE7" s="40"/>
      <c r="EF7" s="40"/>
      <c r="EG7" s="40"/>
    </row>
    <row r="8" spans="1:137" s="31" customFormat="1" ht="23.25" customHeight="1">
      <c r="A8" s="70">
        <v>1</v>
      </c>
      <c r="B8" s="71" t="s">
        <v>3</v>
      </c>
      <c r="C8" s="72">
        <f t="shared" si="0"/>
        <v>40237500</v>
      </c>
      <c r="D8" s="73">
        <v>28175000</v>
      </c>
      <c r="E8" s="73">
        <v>12062500</v>
      </c>
      <c r="F8" s="73">
        <v>0</v>
      </c>
      <c r="G8" s="52"/>
      <c r="I8" s="35"/>
      <c r="J8" s="35"/>
      <c r="K8" s="34">
        <f aca="true" t="shared" si="1" ref="K8:K25">I8*J8*(0.5*1150000)</f>
        <v>0</v>
      </c>
      <c r="L8" s="34"/>
      <c r="M8" s="34"/>
      <c r="N8" s="34">
        <f aca="true" t="shared" si="2" ref="N8:N25">L8*M8*(0.5*1150000)</f>
        <v>0</v>
      </c>
      <c r="O8" s="36">
        <v>3</v>
      </c>
      <c r="P8" s="36">
        <v>5</v>
      </c>
      <c r="Q8" s="34">
        <f aca="true" t="shared" si="3" ref="Q8:Q26">O8*P8*(0.5*1150000)</f>
        <v>8625000</v>
      </c>
      <c r="R8" s="35"/>
      <c r="S8" s="35"/>
      <c r="T8" s="34">
        <f aca="true" t="shared" si="4" ref="T8:T25">R8*S8*100000</f>
        <v>0</v>
      </c>
      <c r="U8" s="34"/>
      <c r="V8" s="34"/>
      <c r="W8" s="34">
        <f aca="true" t="shared" si="5" ref="W8:W25">U8*V8*100000</f>
        <v>0</v>
      </c>
      <c r="X8" s="35"/>
      <c r="Y8" s="35"/>
      <c r="Z8" s="34">
        <f aca="true" t="shared" si="6" ref="Z8:Z18">X8*Y8*(0.3*1150000)</f>
        <v>0</v>
      </c>
      <c r="AA8" s="35"/>
      <c r="AB8" s="35"/>
      <c r="AC8" s="34">
        <f aca="true" t="shared" si="7" ref="AC8:AC25">AA8*AB8*(0.3*1150000)</f>
        <v>0</v>
      </c>
      <c r="AD8" s="35"/>
      <c r="AE8" s="35"/>
      <c r="AF8" s="34">
        <f aca="true" t="shared" si="8" ref="AF8:AF25">AD8*AE8*(0.3*1150000)</f>
        <v>0</v>
      </c>
      <c r="AG8" s="35"/>
      <c r="AH8" s="35"/>
      <c r="AI8" s="34">
        <f aca="true" t="shared" si="9" ref="AI8:AI26">AG8*AH8*(0.3*1150000)</f>
        <v>0</v>
      </c>
      <c r="AJ8" s="35"/>
      <c r="AK8" s="35"/>
      <c r="AL8" s="35"/>
      <c r="AM8" s="35"/>
      <c r="AN8" s="35"/>
      <c r="AO8" s="34">
        <f aca="true" t="shared" si="10" ref="AO8:AO26">((AJ8*200000)+(AK8*100000)+(AL8*100000)+(AM8*300000))*AN8</f>
        <v>0</v>
      </c>
      <c r="AP8" s="35"/>
      <c r="AQ8" s="35"/>
      <c r="AR8" s="35"/>
      <c r="AS8" s="35"/>
      <c r="AT8" s="35"/>
      <c r="AU8" s="34">
        <f aca="true" t="shared" si="11" ref="AU8:AU25">((AP8*200000)+(AQ8*100000)+(AR8*100000)+(AS8*300000))*AT8</f>
        <v>0</v>
      </c>
      <c r="AV8" s="35">
        <v>3</v>
      </c>
      <c r="AW8" s="35">
        <v>2</v>
      </c>
      <c r="AX8" s="35"/>
      <c r="AY8" s="35"/>
      <c r="AZ8" s="35">
        <v>3</v>
      </c>
      <c r="BA8" s="34">
        <f aca="true" t="shared" si="12" ref="BA8:BA13">((AV8*0.5*1150000)+(AW8*0.2*1150000)+(AX8*0.2*1150000)+(AY8*0.3*1150000))*AZ8</f>
        <v>6555000</v>
      </c>
      <c r="BB8" s="35">
        <v>3</v>
      </c>
      <c r="BC8" s="35"/>
      <c r="BD8" s="35"/>
      <c r="BE8" s="35"/>
      <c r="BF8" s="35">
        <v>3</v>
      </c>
      <c r="BG8" s="34">
        <f aca="true" t="shared" si="13" ref="BG8:BG26">((BB8*0.5*1150000)+(BC8*0.2*1150000)+(BD8*0.2*1150000)+(BE8*0.3*1150000))*BF8</f>
        <v>5175000</v>
      </c>
      <c r="BH8" s="35"/>
      <c r="BI8" s="35"/>
      <c r="BJ8" s="35"/>
      <c r="BK8" s="35"/>
      <c r="BL8" s="34">
        <f>(BH8*800000*BK8)+(BI8*6062500/2)+(BJ8*15000000)</f>
        <v>0</v>
      </c>
      <c r="BM8" s="35">
        <v>1</v>
      </c>
      <c r="BN8" s="35">
        <v>1</v>
      </c>
      <c r="BO8" s="35"/>
      <c r="BP8" s="35">
        <v>2</v>
      </c>
      <c r="BQ8" s="34">
        <f>(BM8*600000*BP8)+(BN8*3637500/2)+(BO8*7000000)</f>
        <v>3018750</v>
      </c>
      <c r="BR8" s="35"/>
      <c r="BS8" s="35"/>
      <c r="BT8" s="35"/>
      <c r="BU8" s="35"/>
      <c r="BV8" s="35"/>
      <c r="BW8" s="35"/>
      <c r="BX8" s="34">
        <f aca="true" t="shared" si="14" ref="BX8:BX20">(BR8*BW8*300000)+(BS8*BW8*100000)+(BT8*BW8*100000)+(BU8*BW8*300000)+(BV8*2425000/2)</f>
        <v>0</v>
      </c>
      <c r="BY8" s="35"/>
      <c r="BZ8" s="35"/>
      <c r="CA8" s="35"/>
      <c r="CB8" s="35"/>
      <c r="CC8" s="35"/>
      <c r="CD8" s="35"/>
      <c r="CE8" s="34">
        <f aca="true" t="shared" si="15" ref="CE8:CE25">(BY8*CD8*300000)+(BZ8*CD8*100000)+(CA8*CD8*100000)+(CB8*CD8*300000)+(CC8*1400000/2)</f>
        <v>0</v>
      </c>
      <c r="CF8" s="35">
        <v>3</v>
      </c>
      <c r="CG8" s="35">
        <v>2</v>
      </c>
      <c r="CH8" s="35"/>
      <c r="CI8" s="35">
        <v>1</v>
      </c>
      <c r="CJ8" s="35">
        <v>3</v>
      </c>
      <c r="CK8" s="35">
        <v>2</v>
      </c>
      <c r="CL8" s="34">
        <f>(CF8*CK8*300000)+(CG8*CK8*100000)+(CH8*CK8*100000)+(CI8*CK8*300000)+(CJ8*2000000/2)</f>
        <v>5800000</v>
      </c>
      <c r="CM8" s="35"/>
      <c r="CN8" s="35"/>
      <c r="CO8" s="35"/>
      <c r="CP8" s="35"/>
      <c r="CQ8" s="35"/>
      <c r="CR8" s="35"/>
      <c r="CS8" s="34">
        <f aca="true" t="shared" si="16" ref="CS8:CS25">(CM8*CR8*300000)+(CN8*CR8*100000)+(CO8*CR8*100000)+(CP8*CR8*300000)+(CQ8*2200000/2)</f>
        <v>0</v>
      </c>
      <c r="CT8" s="34"/>
      <c r="CU8" s="34"/>
      <c r="CV8" s="34"/>
      <c r="CW8" s="34"/>
      <c r="CX8" s="34"/>
      <c r="CY8" s="34"/>
      <c r="CZ8" s="17">
        <f aca="true" t="shared" si="17" ref="CZ8:CZ25">(CT8*CY8*200000)+(CU8*CY8*100000)+(CV8*CY8*100000)+(CW8*CY8*300000)+(CX8*2500000/2)</f>
        <v>0</v>
      </c>
      <c r="DA8" s="35"/>
      <c r="DB8" s="35"/>
      <c r="DC8" s="35"/>
      <c r="DD8" s="35"/>
      <c r="DE8" s="35"/>
      <c r="DF8" s="35"/>
      <c r="DG8" s="34">
        <f aca="true" t="shared" si="18" ref="DG8:DG25">(DA8*DF8*300000)+(DB8*DF8*100000)+(DC8*DF8*100000)+(DD8*DF8*300000)+(DE8*2200000/2)</f>
        <v>0</v>
      </c>
      <c r="DH8" s="33"/>
      <c r="DI8" s="33"/>
      <c r="DK8" s="26">
        <v>3000000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25">
        <f>DK8+DM8+DO8+DQ8+DS8</f>
        <v>3000000</v>
      </c>
      <c r="EC8" s="38"/>
      <c r="ED8" s="38"/>
      <c r="EE8" s="38"/>
      <c r="EF8" s="38"/>
      <c r="EG8" s="38"/>
    </row>
    <row r="9" spans="1:137" s="31" customFormat="1" ht="23.25" customHeight="1">
      <c r="A9" s="74">
        <v>2</v>
      </c>
      <c r="B9" s="75" t="s">
        <v>8</v>
      </c>
      <c r="C9" s="76">
        <f t="shared" si="0"/>
        <v>11385000</v>
      </c>
      <c r="D9" s="77">
        <v>11385000</v>
      </c>
      <c r="E9" s="77">
        <f aca="true" t="shared" si="19" ref="E9:E17">BL9+BQ9+BX9</f>
        <v>0</v>
      </c>
      <c r="F9" s="77">
        <f aca="true" t="shared" si="20" ref="F9:F25">CE9+CL9+CS9+CZ9</f>
        <v>0</v>
      </c>
      <c r="G9" s="52"/>
      <c r="I9" s="35"/>
      <c r="J9" s="35"/>
      <c r="K9" s="34">
        <f t="shared" si="1"/>
        <v>0</v>
      </c>
      <c r="L9" s="34"/>
      <c r="M9" s="34"/>
      <c r="N9" s="34">
        <f t="shared" si="2"/>
        <v>0</v>
      </c>
      <c r="O9" s="36"/>
      <c r="P9" s="36"/>
      <c r="Q9" s="34">
        <f t="shared" si="3"/>
        <v>0</v>
      </c>
      <c r="R9" s="35"/>
      <c r="S9" s="35"/>
      <c r="T9" s="34">
        <f t="shared" si="4"/>
        <v>0</v>
      </c>
      <c r="U9" s="34"/>
      <c r="V9" s="34"/>
      <c r="W9" s="34">
        <f t="shared" si="5"/>
        <v>0</v>
      </c>
      <c r="X9" s="35"/>
      <c r="Y9" s="35"/>
      <c r="Z9" s="34">
        <f t="shared" si="6"/>
        <v>0</v>
      </c>
      <c r="AA9" s="35"/>
      <c r="AB9" s="35"/>
      <c r="AC9" s="34">
        <f t="shared" si="7"/>
        <v>0</v>
      </c>
      <c r="AD9" s="35">
        <v>1</v>
      </c>
      <c r="AE9" s="35">
        <v>5</v>
      </c>
      <c r="AF9" s="34">
        <f t="shared" si="8"/>
        <v>1725000</v>
      </c>
      <c r="AG9" s="35">
        <v>4</v>
      </c>
      <c r="AH9" s="35">
        <v>5</v>
      </c>
      <c r="AI9" s="34">
        <f t="shared" si="9"/>
        <v>6900000</v>
      </c>
      <c r="AJ9" s="35"/>
      <c r="AK9" s="35"/>
      <c r="AL9" s="35"/>
      <c r="AM9" s="35"/>
      <c r="AN9" s="35"/>
      <c r="AO9" s="34">
        <f t="shared" si="10"/>
        <v>0</v>
      </c>
      <c r="AP9" s="35"/>
      <c r="AQ9" s="35"/>
      <c r="AR9" s="35"/>
      <c r="AS9" s="35"/>
      <c r="AT9" s="35"/>
      <c r="AU9" s="34">
        <f t="shared" si="11"/>
        <v>0</v>
      </c>
      <c r="AV9" s="35">
        <v>1</v>
      </c>
      <c r="AW9" s="35"/>
      <c r="AX9" s="35"/>
      <c r="AY9" s="35"/>
      <c r="AZ9" s="35">
        <v>3</v>
      </c>
      <c r="BA9" s="34">
        <f t="shared" si="12"/>
        <v>1725000</v>
      </c>
      <c r="BB9" s="35">
        <v>2</v>
      </c>
      <c r="BC9" s="35">
        <v>1</v>
      </c>
      <c r="BD9" s="35"/>
      <c r="BE9" s="35"/>
      <c r="BF9" s="35">
        <v>3</v>
      </c>
      <c r="BG9" s="34">
        <f t="shared" si="13"/>
        <v>4140000</v>
      </c>
      <c r="BH9" s="35"/>
      <c r="BI9" s="35"/>
      <c r="BJ9" s="35"/>
      <c r="BK9" s="35"/>
      <c r="BL9" s="34">
        <f>(BH9*800000*BK9)+(BI9*6062500/2)+(BJ9*15000000)</f>
        <v>0</v>
      </c>
      <c r="BM9" s="35"/>
      <c r="BN9" s="35"/>
      <c r="BO9" s="35"/>
      <c r="BP9" s="35"/>
      <c r="BQ9" s="34">
        <f>(BM9*600000*BP9)+(BN9*3637500/2)+(BO9*7000000)</f>
        <v>0</v>
      </c>
      <c r="BR9" s="35"/>
      <c r="BS9" s="35"/>
      <c r="BT9" s="35"/>
      <c r="BU9" s="35"/>
      <c r="BV9" s="35"/>
      <c r="BW9" s="35"/>
      <c r="BX9" s="34">
        <f t="shared" si="14"/>
        <v>0</v>
      </c>
      <c r="BY9" s="35"/>
      <c r="BZ9" s="35"/>
      <c r="CA9" s="35"/>
      <c r="CB9" s="35"/>
      <c r="CC9" s="35"/>
      <c r="CD9" s="35"/>
      <c r="CE9" s="34">
        <f t="shared" si="15"/>
        <v>0</v>
      </c>
      <c r="CF9" s="35"/>
      <c r="CG9" s="35"/>
      <c r="CH9" s="35"/>
      <c r="CI9" s="35"/>
      <c r="CJ9" s="35"/>
      <c r="CK9" s="35"/>
      <c r="CL9" s="34">
        <f aca="true" t="shared" si="21" ref="CL9:CL25">(CF9*CK9*300000)+(CG9*CK9*100000)+(CH9*CK9*100000)+(CI9*CK9*300000)+(CJ9*2200000/2)</f>
        <v>0</v>
      </c>
      <c r="CM9" s="35"/>
      <c r="CN9" s="35"/>
      <c r="CO9" s="35"/>
      <c r="CP9" s="35"/>
      <c r="CQ9" s="35"/>
      <c r="CR9" s="35"/>
      <c r="CS9" s="34">
        <f t="shared" si="16"/>
        <v>0</v>
      </c>
      <c r="CT9" s="34"/>
      <c r="CU9" s="34"/>
      <c r="CV9" s="34"/>
      <c r="CW9" s="34"/>
      <c r="CX9" s="34"/>
      <c r="CY9" s="34"/>
      <c r="CZ9" s="17">
        <f t="shared" si="17"/>
        <v>0</v>
      </c>
      <c r="DA9" s="35"/>
      <c r="DB9" s="35"/>
      <c r="DC9" s="35"/>
      <c r="DD9" s="35"/>
      <c r="DE9" s="35"/>
      <c r="DF9" s="35"/>
      <c r="DG9" s="34">
        <f t="shared" si="18"/>
        <v>0</v>
      </c>
      <c r="DH9" s="33"/>
      <c r="DI9" s="33"/>
      <c r="DJ9" s="144"/>
      <c r="DK9" s="143">
        <v>3000000</v>
      </c>
      <c r="DL9" s="29">
        <v>171</v>
      </c>
      <c r="DM9" s="26">
        <f aca="true" t="shared" si="22" ref="DM9:DM25">DL9*80000</f>
        <v>13680000</v>
      </c>
      <c r="DN9" s="28">
        <v>70</v>
      </c>
      <c r="DO9" s="26">
        <f>DN9*540000</f>
        <v>37800000</v>
      </c>
      <c r="DP9" s="28">
        <v>171</v>
      </c>
      <c r="DQ9" s="26">
        <f aca="true" t="shared" si="23" ref="DQ9:DQ20">DP9*50000</f>
        <v>8550000</v>
      </c>
      <c r="DR9" s="28">
        <v>7</v>
      </c>
      <c r="DS9" s="26">
        <f>DR9*540000</f>
        <v>3780000</v>
      </c>
      <c r="DT9" s="27"/>
      <c r="DU9" s="26">
        <f aca="true" t="shared" si="24" ref="DU9:DU20">DT9*500000</f>
        <v>0</v>
      </c>
      <c r="DV9" s="37"/>
      <c r="DW9" s="26">
        <f>DV9*300000</f>
        <v>0</v>
      </c>
      <c r="DX9" s="27">
        <v>79</v>
      </c>
      <c r="DY9" s="26">
        <f aca="true" t="shared" si="25" ref="DY9:DY25">DX9*8*400000</f>
        <v>252800000</v>
      </c>
      <c r="DZ9" s="27">
        <f>DX9/3</f>
        <v>26.333333333333332</v>
      </c>
      <c r="EA9" s="26">
        <f aca="true" t="shared" si="26" ref="EA9:EA25">DZ9*300000</f>
        <v>7900000</v>
      </c>
      <c r="EB9" s="25">
        <f>DK9+DM9+DO9+DQ9+DS9+DU9+DW9+DY9+EA9</f>
        <v>327510000</v>
      </c>
      <c r="EC9" s="32"/>
      <c r="ED9" s="32"/>
      <c r="EE9" s="32"/>
      <c r="EF9" s="32"/>
      <c r="EG9" s="32"/>
    </row>
    <row r="10" spans="1:137" s="31" customFormat="1" ht="23.25" customHeight="1">
      <c r="A10" s="74">
        <v>3</v>
      </c>
      <c r="B10" s="75" t="s">
        <v>9</v>
      </c>
      <c r="C10" s="76">
        <f t="shared" si="0"/>
        <v>27605000</v>
      </c>
      <c r="D10" s="77">
        <v>17480000</v>
      </c>
      <c r="E10" s="77">
        <f t="shared" si="19"/>
        <v>10125000</v>
      </c>
      <c r="F10" s="77">
        <f t="shared" si="20"/>
        <v>0</v>
      </c>
      <c r="G10" s="52"/>
      <c r="I10" s="35"/>
      <c r="J10" s="35"/>
      <c r="K10" s="34">
        <f t="shared" si="1"/>
        <v>0</v>
      </c>
      <c r="L10" s="34"/>
      <c r="M10" s="34"/>
      <c r="N10" s="34">
        <f t="shared" si="2"/>
        <v>0</v>
      </c>
      <c r="O10" s="36"/>
      <c r="P10" s="36"/>
      <c r="Q10" s="34">
        <f t="shared" si="3"/>
        <v>0</v>
      </c>
      <c r="R10" s="35"/>
      <c r="S10" s="35"/>
      <c r="T10" s="34">
        <f t="shared" si="4"/>
        <v>0</v>
      </c>
      <c r="U10" s="34"/>
      <c r="V10" s="34"/>
      <c r="W10" s="34">
        <f t="shared" si="5"/>
        <v>0</v>
      </c>
      <c r="X10" s="35"/>
      <c r="Y10" s="35"/>
      <c r="Z10" s="34">
        <f t="shared" si="6"/>
        <v>0</v>
      </c>
      <c r="AA10" s="35"/>
      <c r="AB10" s="35"/>
      <c r="AC10" s="34">
        <f t="shared" si="7"/>
        <v>0</v>
      </c>
      <c r="AD10" s="35">
        <v>1</v>
      </c>
      <c r="AE10" s="35">
        <v>5</v>
      </c>
      <c r="AF10" s="34">
        <f t="shared" si="8"/>
        <v>1725000</v>
      </c>
      <c r="AG10" s="35">
        <v>1</v>
      </c>
      <c r="AH10" s="35">
        <v>5</v>
      </c>
      <c r="AI10" s="34">
        <f t="shared" si="9"/>
        <v>1725000</v>
      </c>
      <c r="AJ10" s="35"/>
      <c r="AK10" s="35"/>
      <c r="AL10" s="35"/>
      <c r="AM10" s="35"/>
      <c r="AN10" s="35"/>
      <c r="AO10" s="34">
        <f t="shared" si="10"/>
        <v>0</v>
      </c>
      <c r="AP10" s="35"/>
      <c r="AQ10" s="35"/>
      <c r="AR10" s="35"/>
      <c r="AS10" s="35"/>
      <c r="AT10" s="35"/>
      <c r="AU10" s="34">
        <f t="shared" si="11"/>
        <v>0</v>
      </c>
      <c r="AV10" s="35">
        <v>3</v>
      </c>
      <c r="AW10" s="35"/>
      <c r="AX10" s="35"/>
      <c r="AY10" s="35"/>
      <c r="AZ10" s="35">
        <v>3</v>
      </c>
      <c r="BA10" s="34">
        <f t="shared" si="12"/>
        <v>5175000</v>
      </c>
      <c r="BB10" s="35"/>
      <c r="BC10" s="35"/>
      <c r="BD10" s="35"/>
      <c r="BE10" s="35"/>
      <c r="BF10" s="35"/>
      <c r="BG10" s="34">
        <f t="shared" si="13"/>
        <v>0</v>
      </c>
      <c r="BH10" s="35"/>
      <c r="BI10" s="35"/>
      <c r="BJ10" s="35"/>
      <c r="BK10" s="35"/>
      <c r="BL10" s="34">
        <f>(BH10*800000*BK10)+(BI10*6062500/2)+(BJ10*15000000)</f>
        <v>0</v>
      </c>
      <c r="BM10" s="35">
        <v>2</v>
      </c>
      <c r="BN10" s="35">
        <v>2</v>
      </c>
      <c r="BO10" s="35"/>
      <c r="BP10" s="35">
        <v>5</v>
      </c>
      <c r="BQ10" s="34">
        <f>(BM10*600000*BP10)+(BN10*4125000/2)+(BO10*7000000)</f>
        <v>10125000</v>
      </c>
      <c r="BR10" s="35"/>
      <c r="BS10" s="35"/>
      <c r="BT10" s="35"/>
      <c r="BU10" s="35"/>
      <c r="BV10" s="35"/>
      <c r="BW10" s="35"/>
      <c r="BX10" s="34">
        <f t="shared" si="14"/>
        <v>0</v>
      </c>
      <c r="BY10" s="35"/>
      <c r="BZ10" s="35"/>
      <c r="CA10" s="35"/>
      <c r="CB10" s="35"/>
      <c r="CC10" s="35"/>
      <c r="CD10" s="35"/>
      <c r="CE10" s="34">
        <f t="shared" si="15"/>
        <v>0</v>
      </c>
      <c r="CF10" s="35"/>
      <c r="CG10" s="35"/>
      <c r="CH10" s="35"/>
      <c r="CI10" s="35"/>
      <c r="CJ10" s="35"/>
      <c r="CK10" s="35"/>
      <c r="CL10" s="34">
        <f t="shared" si="21"/>
        <v>0</v>
      </c>
      <c r="CM10" s="35"/>
      <c r="CN10" s="35"/>
      <c r="CO10" s="35"/>
      <c r="CP10" s="35"/>
      <c r="CQ10" s="35"/>
      <c r="CR10" s="35"/>
      <c r="CS10" s="34">
        <f t="shared" si="16"/>
        <v>0</v>
      </c>
      <c r="CT10" s="34"/>
      <c r="CU10" s="34"/>
      <c r="CV10" s="34"/>
      <c r="CW10" s="34"/>
      <c r="CX10" s="34"/>
      <c r="CY10" s="34"/>
      <c r="CZ10" s="17">
        <f t="shared" si="17"/>
        <v>0</v>
      </c>
      <c r="DA10" s="35"/>
      <c r="DB10" s="35"/>
      <c r="DC10" s="35"/>
      <c r="DD10" s="35"/>
      <c r="DE10" s="35"/>
      <c r="DF10" s="35"/>
      <c r="DG10" s="34">
        <f t="shared" si="18"/>
        <v>0</v>
      </c>
      <c r="DH10" s="33"/>
      <c r="DI10" s="33"/>
      <c r="DK10" s="26">
        <v>3000000</v>
      </c>
      <c r="DL10" s="29">
        <v>171</v>
      </c>
      <c r="DM10" s="26">
        <f t="shared" si="22"/>
        <v>13680000</v>
      </c>
      <c r="DN10" s="28">
        <v>70</v>
      </c>
      <c r="DO10" s="26">
        <f>DN10*200000</f>
        <v>14000000</v>
      </c>
      <c r="DP10" s="28">
        <v>171</v>
      </c>
      <c r="DQ10" s="26">
        <f t="shared" si="23"/>
        <v>8550000</v>
      </c>
      <c r="DR10" s="28">
        <v>7</v>
      </c>
      <c r="DS10" s="26">
        <f>DR10*200000</f>
        <v>1400000</v>
      </c>
      <c r="DT10" s="27"/>
      <c r="DU10" s="26">
        <f t="shared" si="24"/>
        <v>0</v>
      </c>
      <c r="DV10" s="27"/>
      <c r="DW10" s="26">
        <f>DV22*300000</f>
        <v>0</v>
      </c>
      <c r="DX10" s="27"/>
      <c r="DY10" s="26">
        <f t="shared" si="25"/>
        <v>0</v>
      </c>
      <c r="DZ10" s="27"/>
      <c r="EA10" s="26">
        <f t="shared" si="26"/>
        <v>0</v>
      </c>
      <c r="EB10" s="25">
        <f aca="true" t="shared" si="27" ref="EB10:EB20">DK10+DM10+DO10+DQ10+DS10</f>
        <v>40630000</v>
      </c>
      <c r="EC10" s="32"/>
      <c r="ED10" s="32"/>
      <c r="EE10" s="32"/>
      <c r="EF10" s="32"/>
      <c r="EG10" s="32"/>
    </row>
    <row r="11" spans="1:137" s="11" customFormat="1" ht="23.25" customHeight="1">
      <c r="A11" s="74">
        <v>4</v>
      </c>
      <c r="B11" s="78" t="s">
        <v>7</v>
      </c>
      <c r="C11" s="79">
        <f t="shared" si="0"/>
        <v>25400000</v>
      </c>
      <c r="D11" s="77">
        <v>18400000</v>
      </c>
      <c r="E11" s="77">
        <v>7000000</v>
      </c>
      <c r="F11" s="77">
        <f t="shared" si="20"/>
        <v>0</v>
      </c>
      <c r="G11" s="54"/>
      <c r="I11" s="19"/>
      <c r="J11" s="19"/>
      <c r="K11" s="17">
        <f t="shared" si="1"/>
        <v>0</v>
      </c>
      <c r="L11" s="17"/>
      <c r="M11" s="17"/>
      <c r="N11" s="17">
        <f t="shared" si="2"/>
        <v>0</v>
      </c>
      <c r="O11" s="20">
        <v>2</v>
      </c>
      <c r="P11" s="20">
        <v>5</v>
      </c>
      <c r="Q11" s="17">
        <f t="shared" si="3"/>
        <v>5750000</v>
      </c>
      <c r="R11" s="19"/>
      <c r="S11" s="19"/>
      <c r="T11" s="17">
        <f t="shared" si="4"/>
        <v>0</v>
      </c>
      <c r="U11" s="17"/>
      <c r="V11" s="17"/>
      <c r="W11" s="17">
        <f t="shared" si="5"/>
        <v>0</v>
      </c>
      <c r="X11" s="19"/>
      <c r="Y11" s="19"/>
      <c r="Z11" s="17">
        <f t="shared" si="6"/>
        <v>0</v>
      </c>
      <c r="AA11" s="19"/>
      <c r="AB11" s="19"/>
      <c r="AC11" s="17">
        <f t="shared" si="7"/>
        <v>0</v>
      </c>
      <c r="AD11" s="19">
        <v>1</v>
      </c>
      <c r="AE11" s="19">
        <v>5</v>
      </c>
      <c r="AF11" s="17">
        <f t="shared" si="8"/>
        <v>1725000</v>
      </c>
      <c r="AG11" s="19">
        <v>1</v>
      </c>
      <c r="AH11" s="19">
        <v>5</v>
      </c>
      <c r="AI11" s="17">
        <f t="shared" si="9"/>
        <v>1725000</v>
      </c>
      <c r="AJ11" s="19"/>
      <c r="AK11" s="19"/>
      <c r="AL11" s="19"/>
      <c r="AM11" s="19"/>
      <c r="AN11" s="19"/>
      <c r="AO11" s="17">
        <f t="shared" si="10"/>
        <v>0</v>
      </c>
      <c r="AP11" s="19"/>
      <c r="AQ11" s="19"/>
      <c r="AR11" s="19"/>
      <c r="AS11" s="19"/>
      <c r="AT11" s="19"/>
      <c r="AU11" s="17">
        <f t="shared" si="11"/>
        <v>0</v>
      </c>
      <c r="AV11" s="19">
        <v>3</v>
      </c>
      <c r="AW11" s="19"/>
      <c r="AX11" s="19"/>
      <c r="AY11" s="19"/>
      <c r="AZ11" s="19">
        <v>3</v>
      </c>
      <c r="BA11" s="17">
        <f t="shared" si="12"/>
        <v>5175000</v>
      </c>
      <c r="BB11" s="19">
        <v>3</v>
      </c>
      <c r="BC11" s="19">
        <v>1</v>
      </c>
      <c r="BD11" s="19"/>
      <c r="BE11" s="19"/>
      <c r="BF11" s="19">
        <v>3</v>
      </c>
      <c r="BG11" s="17">
        <f t="shared" si="13"/>
        <v>5865000</v>
      </c>
      <c r="BH11" s="19"/>
      <c r="BI11" s="19"/>
      <c r="BJ11" s="19"/>
      <c r="BK11" s="19"/>
      <c r="BL11" s="17">
        <f>(BH11*800000*BK11)+(BI11*6062500/2)+(BJ11*15000000)</f>
        <v>0</v>
      </c>
      <c r="BM11" s="19"/>
      <c r="BN11" s="19"/>
      <c r="BO11" s="19"/>
      <c r="BP11" s="19"/>
      <c r="BQ11" s="17">
        <f>(BM11*600000*BP11)+(BN11*3637500/2)+(BO11*7000000)</f>
        <v>0</v>
      </c>
      <c r="BR11" s="19"/>
      <c r="BS11" s="19"/>
      <c r="BT11" s="19"/>
      <c r="BU11" s="19"/>
      <c r="BV11" s="19"/>
      <c r="BW11" s="19"/>
      <c r="BX11" s="17">
        <f t="shared" si="14"/>
        <v>0</v>
      </c>
      <c r="BY11" s="19"/>
      <c r="BZ11" s="19"/>
      <c r="CA11" s="19"/>
      <c r="CB11" s="19"/>
      <c r="CC11" s="19"/>
      <c r="CD11" s="19"/>
      <c r="CE11" s="17">
        <f t="shared" si="15"/>
        <v>0</v>
      </c>
      <c r="CF11" s="19"/>
      <c r="CG11" s="19"/>
      <c r="CH11" s="19"/>
      <c r="CI11" s="19"/>
      <c r="CJ11" s="19"/>
      <c r="CK11" s="19"/>
      <c r="CL11" s="17">
        <f t="shared" si="21"/>
        <v>0</v>
      </c>
      <c r="CM11" s="19"/>
      <c r="CN11" s="19"/>
      <c r="CO11" s="19"/>
      <c r="CP11" s="19"/>
      <c r="CQ11" s="19"/>
      <c r="CR11" s="19"/>
      <c r="CS11" s="17">
        <f t="shared" si="16"/>
        <v>0</v>
      </c>
      <c r="CT11" s="17"/>
      <c r="CU11" s="17"/>
      <c r="CV11" s="17"/>
      <c r="CW11" s="17"/>
      <c r="CX11" s="17"/>
      <c r="CY11" s="17"/>
      <c r="CZ11" s="17">
        <f t="shared" si="17"/>
        <v>0</v>
      </c>
      <c r="DA11" s="19"/>
      <c r="DB11" s="19"/>
      <c r="DC11" s="19"/>
      <c r="DD11" s="19"/>
      <c r="DE11" s="19"/>
      <c r="DF11" s="19"/>
      <c r="DG11" s="17">
        <f t="shared" si="18"/>
        <v>0</v>
      </c>
      <c r="DH11" s="16"/>
      <c r="DI11" s="16"/>
      <c r="DK11" s="26">
        <v>3000000</v>
      </c>
      <c r="DL11" s="29">
        <v>171</v>
      </c>
      <c r="DM11" s="26">
        <f t="shared" si="22"/>
        <v>13680000</v>
      </c>
      <c r="DN11" s="28">
        <v>70</v>
      </c>
      <c r="DO11" s="26">
        <f>DN11*250000</f>
        <v>17500000</v>
      </c>
      <c r="DP11" s="28">
        <v>171</v>
      </c>
      <c r="DQ11" s="26">
        <f t="shared" si="23"/>
        <v>8550000</v>
      </c>
      <c r="DR11" s="28">
        <v>7</v>
      </c>
      <c r="DS11" s="26">
        <f>DR11*250000</f>
        <v>1750000</v>
      </c>
      <c r="DT11" s="27"/>
      <c r="DU11" s="26">
        <f t="shared" si="24"/>
        <v>0</v>
      </c>
      <c r="DV11" s="27"/>
      <c r="DW11" s="26">
        <f>DV23*300000</f>
        <v>0</v>
      </c>
      <c r="DX11" s="27"/>
      <c r="DY11" s="26">
        <f t="shared" si="25"/>
        <v>0</v>
      </c>
      <c r="DZ11" s="27"/>
      <c r="EA11" s="26">
        <f t="shared" si="26"/>
        <v>0</v>
      </c>
      <c r="EB11" s="25">
        <f t="shared" si="27"/>
        <v>44480000</v>
      </c>
      <c r="EC11" s="30"/>
      <c r="ED11" s="30"/>
      <c r="EE11" s="30"/>
      <c r="EF11" s="30"/>
      <c r="EG11" s="30"/>
    </row>
    <row r="12" spans="1:137" s="11" customFormat="1" ht="23.25" customHeight="1">
      <c r="A12" s="74">
        <v>5</v>
      </c>
      <c r="B12" s="78" t="s">
        <v>128</v>
      </c>
      <c r="C12" s="79">
        <f t="shared" si="0"/>
        <v>10235000</v>
      </c>
      <c r="D12" s="77">
        <v>10235000</v>
      </c>
      <c r="E12" s="77">
        <f t="shared" si="19"/>
        <v>0</v>
      </c>
      <c r="F12" s="77">
        <f t="shared" si="20"/>
        <v>0</v>
      </c>
      <c r="G12" s="55"/>
      <c r="I12" s="19"/>
      <c r="J12" s="19"/>
      <c r="K12" s="17">
        <f t="shared" si="1"/>
        <v>0</v>
      </c>
      <c r="L12" s="17"/>
      <c r="M12" s="17"/>
      <c r="N12" s="17">
        <f t="shared" si="2"/>
        <v>0</v>
      </c>
      <c r="O12" s="20">
        <v>1</v>
      </c>
      <c r="P12" s="20">
        <v>5</v>
      </c>
      <c r="Q12" s="17">
        <f t="shared" si="3"/>
        <v>2875000</v>
      </c>
      <c r="R12" s="19"/>
      <c r="S12" s="19"/>
      <c r="T12" s="17">
        <f t="shared" si="4"/>
        <v>0</v>
      </c>
      <c r="U12" s="17"/>
      <c r="V12" s="17"/>
      <c r="W12" s="17">
        <f t="shared" si="5"/>
        <v>0</v>
      </c>
      <c r="X12" s="19"/>
      <c r="Y12" s="19"/>
      <c r="Z12" s="17">
        <f t="shared" si="6"/>
        <v>0</v>
      </c>
      <c r="AA12" s="19"/>
      <c r="AB12" s="19"/>
      <c r="AC12" s="17">
        <f t="shared" si="7"/>
        <v>0</v>
      </c>
      <c r="AD12" s="19">
        <v>2</v>
      </c>
      <c r="AE12" s="19">
        <v>5</v>
      </c>
      <c r="AF12" s="17">
        <f t="shared" si="8"/>
        <v>3450000</v>
      </c>
      <c r="AG12" s="19"/>
      <c r="AH12" s="19"/>
      <c r="AI12" s="17">
        <f t="shared" si="9"/>
        <v>0</v>
      </c>
      <c r="AJ12" s="19"/>
      <c r="AK12" s="19"/>
      <c r="AL12" s="19"/>
      <c r="AM12" s="19"/>
      <c r="AN12" s="19"/>
      <c r="AO12" s="17">
        <f t="shared" si="10"/>
        <v>0</v>
      </c>
      <c r="AP12" s="19"/>
      <c r="AQ12" s="19"/>
      <c r="AR12" s="19"/>
      <c r="AS12" s="19"/>
      <c r="AT12" s="19"/>
      <c r="AU12" s="17">
        <f t="shared" si="11"/>
        <v>0</v>
      </c>
      <c r="AV12" s="19">
        <v>4</v>
      </c>
      <c r="AW12" s="19"/>
      <c r="AX12" s="19"/>
      <c r="AY12" s="19"/>
      <c r="AZ12" s="19">
        <v>3</v>
      </c>
      <c r="BA12" s="17">
        <f t="shared" si="12"/>
        <v>6900000</v>
      </c>
      <c r="BB12" s="19">
        <v>1</v>
      </c>
      <c r="BC12" s="19"/>
      <c r="BD12" s="19"/>
      <c r="BE12" s="19"/>
      <c r="BF12" s="19">
        <v>3</v>
      </c>
      <c r="BG12" s="17">
        <f t="shared" si="13"/>
        <v>1725000</v>
      </c>
      <c r="BH12" s="19"/>
      <c r="BI12" s="19"/>
      <c r="BJ12" s="19"/>
      <c r="BK12" s="19"/>
      <c r="BL12" s="17">
        <f>(BH12*800000*BK12)+(BI12*6062500/2)+(BJ12*15000000)</f>
        <v>0</v>
      </c>
      <c r="BM12" s="19"/>
      <c r="BN12" s="19"/>
      <c r="BO12" s="19"/>
      <c r="BP12" s="19"/>
      <c r="BQ12" s="17">
        <f>(BM12*600000*BP12)+(BN12*3637500/2)+(BO12*7000000)</f>
        <v>0</v>
      </c>
      <c r="BR12" s="19"/>
      <c r="BS12" s="19"/>
      <c r="BT12" s="19"/>
      <c r="BU12" s="19"/>
      <c r="BV12" s="19"/>
      <c r="BW12" s="19"/>
      <c r="BX12" s="17">
        <f t="shared" si="14"/>
        <v>0</v>
      </c>
      <c r="BY12" s="19"/>
      <c r="BZ12" s="19"/>
      <c r="CA12" s="19"/>
      <c r="CB12" s="19"/>
      <c r="CC12" s="19"/>
      <c r="CD12" s="19"/>
      <c r="CE12" s="17">
        <f t="shared" si="15"/>
        <v>0</v>
      </c>
      <c r="CF12" s="19"/>
      <c r="CG12" s="19"/>
      <c r="CH12" s="19"/>
      <c r="CI12" s="19"/>
      <c r="CJ12" s="19"/>
      <c r="CK12" s="19"/>
      <c r="CL12" s="17">
        <f t="shared" si="21"/>
        <v>0</v>
      </c>
      <c r="CM12" s="19"/>
      <c r="CN12" s="19"/>
      <c r="CO12" s="19"/>
      <c r="CP12" s="19"/>
      <c r="CQ12" s="19"/>
      <c r="CR12" s="19"/>
      <c r="CS12" s="17">
        <f t="shared" si="16"/>
        <v>0</v>
      </c>
      <c r="CT12" s="17"/>
      <c r="CU12" s="17"/>
      <c r="CV12" s="17"/>
      <c r="CW12" s="17"/>
      <c r="CX12" s="17"/>
      <c r="CY12" s="17"/>
      <c r="CZ12" s="17">
        <f t="shared" si="17"/>
        <v>0</v>
      </c>
      <c r="DA12" s="19"/>
      <c r="DB12" s="19"/>
      <c r="DC12" s="19"/>
      <c r="DD12" s="19"/>
      <c r="DE12" s="19"/>
      <c r="DF12" s="19"/>
      <c r="DG12" s="17">
        <f t="shared" si="18"/>
        <v>0</v>
      </c>
      <c r="DH12" s="16"/>
      <c r="DI12" s="16"/>
      <c r="DK12" s="26">
        <v>3000000</v>
      </c>
      <c r="DL12" s="29">
        <v>171</v>
      </c>
      <c r="DM12" s="26">
        <f t="shared" si="22"/>
        <v>13680000</v>
      </c>
      <c r="DN12" s="28">
        <v>75</v>
      </c>
      <c r="DO12" s="26">
        <f>DN12*250000</f>
        <v>18750000</v>
      </c>
      <c r="DP12" s="28">
        <v>171</v>
      </c>
      <c r="DQ12" s="26">
        <f t="shared" si="23"/>
        <v>8550000</v>
      </c>
      <c r="DR12" s="28">
        <v>7</v>
      </c>
      <c r="DS12" s="26">
        <f>DR12*250000</f>
        <v>1750000</v>
      </c>
      <c r="DT12" s="27"/>
      <c r="DU12" s="26">
        <f t="shared" si="24"/>
        <v>0</v>
      </c>
      <c r="DV12" s="27"/>
      <c r="DW12" s="26">
        <f>DV24*300000</f>
        <v>0</v>
      </c>
      <c r="DX12" s="27"/>
      <c r="DY12" s="26">
        <f t="shared" si="25"/>
        <v>0</v>
      </c>
      <c r="DZ12" s="27"/>
      <c r="EA12" s="26">
        <f t="shared" si="26"/>
        <v>0</v>
      </c>
      <c r="EB12" s="25">
        <f t="shared" si="27"/>
        <v>45730000</v>
      </c>
      <c r="EC12" s="30"/>
      <c r="ED12" s="30"/>
      <c r="EE12" s="30"/>
      <c r="EF12" s="30"/>
      <c r="EG12" s="30"/>
    </row>
    <row r="13" spans="1:137" s="11" customFormat="1" ht="23.25" customHeight="1">
      <c r="A13" s="74">
        <v>6</v>
      </c>
      <c r="B13" s="78" t="s">
        <v>6</v>
      </c>
      <c r="C13" s="79">
        <f t="shared" si="0"/>
        <v>20240000</v>
      </c>
      <c r="D13" s="77">
        <v>20240000</v>
      </c>
      <c r="E13" s="77">
        <v>0</v>
      </c>
      <c r="F13" s="77">
        <f t="shared" si="20"/>
        <v>0</v>
      </c>
      <c r="G13" s="55"/>
      <c r="I13" s="19"/>
      <c r="J13" s="19"/>
      <c r="K13" s="17">
        <f t="shared" si="1"/>
        <v>0</v>
      </c>
      <c r="L13" s="17"/>
      <c r="M13" s="17"/>
      <c r="N13" s="17">
        <f t="shared" si="2"/>
        <v>0</v>
      </c>
      <c r="O13" s="20">
        <v>2</v>
      </c>
      <c r="P13" s="20">
        <v>5</v>
      </c>
      <c r="Q13" s="17">
        <f t="shared" si="3"/>
        <v>5750000</v>
      </c>
      <c r="R13" s="19"/>
      <c r="S13" s="19"/>
      <c r="T13" s="17">
        <f t="shared" si="4"/>
        <v>0</v>
      </c>
      <c r="U13" s="17"/>
      <c r="V13" s="17"/>
      <c r="W13" s="17">
        <f t="shared" si="5"/>
        <v>0</v>
      </c>
      <c r="X13" s="19"/>
      <c r="Y13" s="19"/>
      <c r="Z13" s="17">
        <f t="shared" si="6"/>
        <v>0</v>
      </c>
      <c r="AA13" s="19"/>
      <c r="AB13" s="19"/>
      <c r="AC13" s="17">
        <f t="shared" si="7"/>
        <v>0</v>
      </c>
      <c r="AD13" s="19">
        <v>1</v>
      </c>
      <c r="AE13" s="19">
        <v>5</v>
      </c>
      <c r="AF13" s="17">
        <f t="shared" si="8"/>
        <v>1725000</v>
      </c>
      <c r="AG13" s="19">
        <v>1</v>
      </c>
      <c r="AH13" s="19">
        <v>5</v>
      </c>
      <c r="AI13" s="17">
        <f t="shared" si="9"/>
        <v>1725000</v>
      </c>
      <c r="AJ13" s="19"/>
      <c r="AK13" s="19"/>
      <c r="AL13" s="19"/>
      <c r="AM13" s="19"/>
      <c r="AN13" s="19"/>
      <c r="AO13" s="17">
        <f t="shared" si="10"/>
        <v>0</v>
      </c>
      <c r="AP13" s="19"/>
      <c r="AQ13" s="19"/>
      <c r="AR13" s="19"/>
      <c r="AS13" s="19"/>
      <c r="AT13" s="19"/>
      <c r="AU13" s="17">
        <f t="shared" si="11"/>
        <v>0</v>
      </c>
      <c r="AV13" s="19">
        <v>2</v>
      </c>
      <c r="AW13" s="19">
        <v>1</v>
      </c>
      <c r="AX13" s="19"/>
      <c r="AY13" s="19"/>
      <c r="AZ13" s="19">
        <v>3</v>
      </c>
      <c r="BA13" s="17">
        <f t="shared" si="12"/>
        <v>4140000</v>
      </c>
      <c r="BB13" s="19">
        <v>3</v>
      </c>
      <c r="BC13" s="19"/>
      <c r="BD13" s="19"/>
      <c r="BE13" s="19"/>
      <c r="BF13" s="19">
        <v>3</v>
      </c>
      <c r="BG13" s="17">
        <f t="shared" si="13"/>
        <v>5175000</v>
      </c>
      <c r="BH13" s="19">
        <v>1</v>
      </c>
      <c r="BI13" s="19">
        <v>1</v>
      </c>
      <c r="BJ13" s="19"/>
      <c r="BK13" s="19">
        <v>5</v>
      </c>
      <c r="BL13" s="17">
        <f>(BH13*800000*BK13)+(BI13*6062500/2)+(BJ13*15000000)+3031250</f>
        <v>10062500</v>
      </c>
      <c r="BM13" s="19">
        <v>2</v>
      </c>
      <c r="BN13" s="19">
        <v>2</v>
      </c>
      <c r="BO13" s="19"/>
      <c r="BP13" s="19">
        <v>5</v>
      </c>
      <c r="BQ13" s="17">
        <f>(BM13*600000*BP13)+(BN13*3637500/2)+(BO13*7000000)-3000000-1818750+1575000+1575000</f>
        <v>7968750</v>
      </c>
      <c r="BR13" s="19"/>
      <c r="BS13" s="19"/>
      <c r="BT13" s="19"/>
      <c r="BU13" s="19"/>
      <c r="BV13" s="19"/>
      <c r="BW13" s="19"/>
      <c r="BX13" s="17">
        <f t="shared" si="14"/>
        <v>0</v>
      </c>
      <c r="BY13" s="19"/>
      <c r="BZ13" s="19"/>
      <c r="CA13" s="19"/>
      <c r="CB13" s="19"/>
      <c r="CC13" s="19"/>
      <c r="CD13" s="19"/>
      <c r="CE13" s="17">
        <f t="shared" si="15"/>
        <v>0</v>
      </c>
      <c r="CF13" s="19"/>
      <c r="CG13" s="19"/>
      <c r="CH13" s="19"/>
      <c r="CI13" s="19"/>
      <c r="CJ13" s="19"/>
      <c r="CK13" s="19"/>
      <c r="CL13" s="17">
        <f t="shared" si="21"/>
        <v>0</v>
      </c>
      <c r="CM13" s="19"/>
      <c r="CN13" s="19"/>
      <c r="CO13" s="19"/>
      <c r="CP13" s="19"/>
      <c r="CQ13" s="19"/>
      <c r="CR13" s="19"/>
      <c r="CS13" s="17">
        <f t="shared" si="16"/>
        <v>0</v>
      </c>
      <c r="CT13" s="17"/>
      <c r="CU13" s="17"/>
      <c r="CV13" s="17"/>
      <c r="CW13" s="17"/>
      <c r="CX13" s="17"/>
      <c r="CY13" s="17"/>
      <c r="CZ13" s="17">
        <f t="shared" si="17"/>
        <v>0</v>
      </c>
      <c r="DA13" s="19"/>
      <c r="DB13" s="19"/>
      <c r="DC13" s="19"/>
      <c r="DD13" s="19"/>
      <c r="DE13" s="19"/>
      <c r="DF13" s="19"/>
      <c r="DG13" s="17">
        <f t="shared" si="18"/>
        <v>0</v>
      </c>
      <c r="DH13" s="16"/>
      <c r="DI13" s="16"/>
      <c r="DK13" s="26">
        <v>3000000</v>
      </c>
      <c r="DL13" s="29">
        <v>171</v>
      </c>
      <c r="DM13" s="26">
        <f t="shared" si="22"/>
        <v>13680000</v>
      </c>
      <c r="DN13" s="28">
        <v>75</v>
      </c>
      <c r="DO13" s="26">
        <f>DN13*400000</f>
        <v>30000000</v>
      </c>
      <c r="DP13" s="28">
        <v>171</v>
      </c>
      <c r="DQ13" s="26">
        <f t="shared" si="23"/>
        <v>8550000</v>
      </c>
      <c r="DR13" s="28">
        <v>7</v>
      </c>
      <c r="DS13" s="26">
        <f>DR13*400000</f>
        <v>2800000</v>
      </c>
      <c r="DT13" s="27"/>
      <c r="DU13" s="26">
        <f t="shared" si="24"/>
        <v>0</v>
      </c>
      <c r="DV13" s="27"/>
      <c r="DW13" s="26">
        <f>DV25*300000</f>
        <v>0</v>
      </c>
      <c r="DX13" s="27"/>
      <c r="DY13" s="26">
        <f t="shared" si="25"/>
        <v>0</v>
      </c>
      <c r="DZ13" s="27"/>
      <c r="EA13" s="26">
        <f t="shared" si="26"/>
        <v>0</v>
      </c>
      <c r="EB13" s="25">
        <f t="shared" si="27"/>
        <v>58030000</v>
      </c>
      <c r="EC13" s="30"/>
      <c r="ED13" s="30"/>
      <c r="EE13" s="30"/>
      <c r="EF13" s="30"/>
      <c r="EG13" s="30"/>
    </row>
    <row r="14" spans="1:137" s="11" customFormat="1" ht="23.25" customHeight="1">
      <c r="A14" s="74">
        <v>7</v>
      </c>
      <c r="B14" s="78" t="s">
        <v>11</v>
      </c>
      <c r="C14" s="79">
        <f t="shared" si="0"/>
        <v>25185000</v>
      </c>
      <c r="D14" s="77">
        <v>25185000</v>
      </c>
      <c r="E14" s="77">
        <f t="shared" si="19"/>
        <v>0</v>
      </c>
      <c r="F14" s="77">
        <f t="shared" si="20"/>
        <v>0</v>
      </c>
      <c r="G14" s="55"/>
      <c r="I14" s="19"/>
      <c r="J14" s="19"/>
      <c r="K14" s="17">
        <f t="shared" si="1"/>
        <v>0</v>
      </c>
      <c r="L14" s="17"/>
      <c r="M14" s="17"/>
      <c r="N14" s="17">
        <f t="shared" si="2"/>
        <v>0</v>
      </c>
      <c r="O14" s="20"/>
      <c r="P14" s="20"/>
      <c r="Q14" s="17">
        <f t="shared" si="3"/>
        <v>0</v>
      </c>
      <c r="R14" s="19"/>
      <c r="S14" s="19"/>
      <c r="T14" s="17">
        <f t="shared" si="4"/>
        <v>0</v>
      </c>
      <c r="U14" s="17"/>
      <c r="V14" s="17"/>
      <c r="W14" s="17">
        <f t="shared" si="5"/>
        <v>0</v>
      </c>
      <c r="X14" s="19"/>
      <c r="Y14" s="19"/>
      <c r="Z14" s="17">
        <f t="shared" si="6"/>
        <v>0</v>
      </c>
      <c r="AA14" s="19"/>
      <c r="AB14" s="19"/>
      <c r="AC14" s="17">
        <f t="shared" si="7"/>
        <v>0</v>
      </c>
      <c r="AD14" s="19"/>
      <c r="AE14" s="19"/>
      <c r="AF14" s="17">
        <f t="shared" si="8"/>
        <v>0</v>
      </c>
      <c r="AG14" s="19">
        <v>1</v>
      </c>
      <c r="AH14" s="19">
        <v>5</v>
      </c>
      <c r="AI14" s="17">
        <f t="shared" si="9"/>
        <v>1725000</v>
      </c>
      <c r="AJ14" s="19"/>
      <c r="AK14" s="19"/>
      <c r="AL14" s="19"/>
      <c r="AM14" s="19"/>
      <c r="AN14" s="19"/>
      <c r="AO14" s="17">
        <f t="shared" si="10"/>
        <v>0</v>
      </c>
      <c r="AP14" s="19"/>
      <c r="AQ14" s="19"/>
      <c r="AR14" s="19"/>
      <c r="AS14" s="19"/>
      <c r="AT14" s="19"/>
      <c r="AU14" s="17">
        <f t="shared" si="11"/>
        <v>0</v>
      </c>
      <c r="AV14" s="19">
        <v>1</v>
      </c>
      <c r="AW14" s="19"/>
      <c r="AX14" s="19"/>
      <c r="AY14" s="19"/>
      <c r="AZ14" s="19">
        <v>3</v>
      </c>
      <c r="BA14" s="17">
        <f>((AV14*0.5*1150000)+(AW14*0.2*1150000)+(AX14*0.2*1150000)+(AY14*0.3*1150000))*AZ14-460000</f>
        <v>1265000</v>
      </c>
      <c r="BB14" s="19">
        <v>3</v>
      </c>
      <c r="BC14" s="19">
        <v>1</v>
      </c>
      <c r="BD14" s="19"/>
      <c r="BE14" s="19"/>
      <c r="BF14" s="19">
        <v>3</v>
      </c>
      <c r="BG14" s="17">
        <f t="shared" si="13"/>
        <v>5865000</v>
      </c>
      <c r="BH14" s="19"/>
      <c r="BI14" s="19"/>
      <c r="BJ14" s="19"/>
      <c r="BK14" s="19"/>
      <c r="BL14" s="17">
        <f aca="true" t="shared" si="28" ref="BL14:BL25">(BH14*800000*BK14)+(BI14*6062500/2)+(BJ14*15000000)</f>
        <v>0</v>
      </c>
      <c r="BM14" s="19"/>
      <c r="BN14" s="19"/>
      <c r="BO14" s="19"/>
      <c r="BP14" s="19"/>
      <c r="BQ14" s="17">
        <f>(BM14*600000*BP14)+(BN14*3500000/2)+(BO14*7000000)</f>
        <v>0</v>
      </c>
      <c r="BR14" s="19"/>
      <c r="BS14" s="19"/>
      <c r="BT14" s="19"/>
      <c r="BU14" s="19"/>
      <c r="BV14" s="19"/>
      <c r="BW14" s="19"/>
      <c r="BX14" s="17">
        <f t="shared" si="14"/>
        <v>0</v>
      </c>
      <c r="BY14" s="19"/>
      <c r="BZ14" s="19"/>
      <c r="CA14" s="19"/>
      <c r="CB14" s="19"/>
      <c r="CC14" s="19"/>
      <c r="CD14" s="19"/>
      <c r="CE14" s="17">
        <f t="shared" si="15"/>
        <v>0</v>
      </c>
      <c r="CF14" s="19"/>
      <c r="CG14" s="19"/>
      <c r="CH14" s="19"/>
      <c r="CI14" s="19"/>
      <c r="CJ14" s="19"/>
      <c r="CK14" s="19"/>
      <c r="CL14" s="17">
        <f t="shared" si="21"/>
        <v>0</v>
      </c>
      <c r="CM14" s="19"/>
      <c r="CN14" s="19"/>
      <c r="CO14" s="19"/>
      <c r="CP14" s="19"/>
      <c r="CQ14" s="19"/>
      <c r="CR14" s="19"/>
      <c r="CS14" s="17">
        <f t="shared" si="16"/>
        <v>0</v>
      </c>
      <c r="CT14" s="17"/>
      <c r="CU14" s="17"/>
      <c r="CV14" s="17"/>
      <c r="CW14" s="17"/>
      <c r="CX14" s="17"/>
      <c r="CY14" s="17"/>
      <c r="CZ14" s="17">
        <f t="shared" si="17"/>
        <v>0</v>
      </c>
      <c r="DA14" s="19"/>
      <c r="DB14" s="19"/>
      <c r="DC14" s="19"/>
      <c r="DD14" s="19"/>
      <c r="DE14" s="19"/>
      <c r="DF14" s="19"/>
      <c r="DG14" s="17">
        <f t="shared" si="18"/>
        <v>0</v>
      </c>
      <c r="DH14" s="16"/>
      <c r="DI14" s="16"/>
      <c r="DK14" s="26">
        <v>3000000</v>
      </c>
      <c r="DL14" s="29">
        <v>171</v>
      </c>
      <c r="DM14" s="26">
        <f t="shared" si="22"/>
        <v>13680000</v>
      </c>
      <c r="DN14" s="28">
        <v>75</v>
      </c>
      <c r="DO14" s="26">
        <f>DN14*400000</f>
        <v>30000000</v>
      </c>
      <c r="DP14" s="28">
        <v>171</v>
      </c>
      <c r="DQ14" s="26">
        <f t="shared" si="23"/>
        <v>8550000</v>
      </c>
      <c r="DR14" s="28">
        <v>7</v>
      </c>
      <c r="DS14" s="26">
        <f>DR14*400000</f>
        <v>2800000</v>
      </c>
      <c r="DT14" s="27"/>
      <c r="DU14" s="26">
        <f t="shared" si="24"/>
        <v>0</v>
      </c>
      <c r="DV14" s="27"/>
      <c r="DW14" s="26">
        <f>DV26*300000</f>
        <v>0</v>
      </c>
      <c r="DX14" s="27"/>
      <c r="DY14" s="26">
        <f t="shared" si="25"/>
        <v>0</v>
      </c>
      <c r="DZ14" s="27"/>
      <c r="EA14" s="26">
        <f t="shared" si="26"/>
        <v>0</v>
      </c>
      <c r="EB14" s="25">
        <f t="shared" si="27"/>
        <v>58030000</v>
      </c>
      <c r="EC14" s="30"/>
      <c r="ED14" s="30"/>
      <c r="EE14" s="30"/>
      <c r="EF14" s="30"/>
      <c r="EG14" s="30"/>
    </row>
    <row r="15" spans="1:137" s="11" customFormat="1" ht="23.25" customHeight="1">
      <c r="A15" s="74">
        <v>8</v>
      </c>
      <c r="B15" s="78" t="s">
        <v>5</v>
      </c>
      <c r="C15" s="79">
        <f t="shared" si="0"/>
        <v>44279000</v>
      </c>
      <c r="D15" s="77">
        <v>34155000</v>
      </c>
      <c r="E15" s="77">
        <v>10124000</v>
      </c>
      <c r="F15" s="77">
        <f t="shared" si="20"/>
        <v>0</v>
      </c>
      <c r="G15" s="55"/>
      <c r="I15" s="19">
        <v>1</v>
      </c>
      <c r="J15" s="19">
        <v>5</v>
      </c>
      <c r="K15" s="17">
        <f t="shared" si="1"/>
        <v>2875000</v>
      </c>
      <c r="L15" s="17"/>
      <c r="M15" s="17"/>
      <c r="N15" s="17">
        <f t="shared" si="2"/>
        <v>0</v>
      </c>
      <c r="O15" s="20"/>
      <c r="P15" s="20"/>
      <c r="Q15" s="17">
        <f t="shared" si="3"/>
        <v>0</v>
      </c>
      <c r="R15" s="19"/>
      <c r="S15" s="19"/>
      <c r="T15" s="17">
        <f t="shared" si="4"/>
        <v>0</v>
      </c>
      <c r="U15" s="17"/>
      <c r="V15" s="17"/>
      <c r="W15" s="17">
        <f t="shared" si="5"/>
        <v>0</v>
      </c>
      <c r="X15" s="19"/>
      <c r="Y15" s="19"/>
      <c r="Z15" s="17">
        <f t="shared" si="6"/>
        <v>0</v>
      </c>
      <c r="AA15" s="19"/>
      <c r="AB15" s="19"/>
      <c r="AC15" s="17">
        <f t="shared" si="7"/>
        <v>0</v>
      </c>
      <c r="AD15" s="19"/>
      <c r="AE15" s="19"/>
      <c r="AF15" s="17">
        <f t="shared" si="8"/>
        <v>0</v>
      </c>
      <c r="AG15" s="19">
        <v>1</v>
      </c>
      <c r="AH15" s="19">
        <v>5</v>
      </c>
      <c r="AI15" s="17">
        <f t="shared" si="9"/>
        <v>1725000</v>
      </c>
      <c r="AJ15" s="19"/>
      <c r="AK15" s="19"/>
      <c r="AL15" s="19"/>
      <c r="AM15" s="19"/>
      <c r="AN15" s="19"/>
      <c r="AO15" s="17">
        <f t="shared" si="10"/>
        <v>0</v>
      </c>
      <c r="AP15" s="19"/>
      <c r="AQ15" s="19"/>
      <c r="AR15" s="19"/>
      <c r="AS15" s="19"/>
      <c r="AT15" s="19"/>
      <c r="AU15" s="17">
        <f t="shared" si="11"/>
        <v>0</v>
      </c>
      <c r="AV15" s="19">
        <v>4</v>
      </c>
      <c r="AW15" s="19"/>
      <c r="AX15" s="19"/>
      <c r="AY15" s="19"/>
      <c r="AZ15" s="19">
        <v>3</v>
      </c>
      <c r="BA15" s="17">
        <f aca="true" t="shared" si="29" ref="BA15:BA25">((AV15*0.5*1150000)+(AW15*0.2*1150000)+(AX15*0.2*1150000)+(AY15*0.3*1150000))*AZ15</f>
        <v>6900000</v>
      </c>
      <c r="BB15" s="19"/>
      <c r="BC15" s="19"/>
      <c r="BD15" s="19"/>
      <c r="BE15" s="19"/>
      <c r="BF15" s="19"/>
      <c r="BG15" s="17">
        <f t="shared" si="13"/>
        <v>0</v>
      </c>
      <c r="BH15" s="19"/>
      <c r="BI15" s="19"/>
      <c r="BJ15" s="19"/>
      <c r="BK15" s="19"/>
      <c r="BL15" s="17">
        <f t="shared" si="28"/>
        <v>0</v>
      </c>
      <c r="BM15" s="19">
        <v>1</v>
      </c>
      <c r="BN15" s="19">
        <v>1</v>
      </c>
      <c r="BO15" s="19"/>
      <c r="BP15" s="19">
        <v>5</v>
      </c>
      <c r="BQ15" s="17">
        <f>(BM15*600000*BP15)+(BN15*3600000/2)+(BO15*7000000)</f>
        <v>4800000</v>
      </c>
      <c r="BR15" s="19"/>
      <c r="BS15" s="19"/>
      <c r="BT15" s="19"/>
      <c r="BU15" s="19"/>
      <c r="BV15" s="19"/>
      <c r="BW15" s="19"/>
      <c r="BX15" s="17">
        <f t="shared" si="14"/>
        <v>0</v>
      </c>
      <c r="BY15" s="19"/>
      <c r="BZ15" s="19"/>
      <c r="CA15" s="19"/>
      <c r="CB15" s="19"/>
      <c r="CC15" s="19"/>
      <c r="CD15" s="19"/>
      <c r="CE15" s="17">
        <f t="shared" si="15"/>
        <v>0</v>
      </c>
      <c r="CF15" s="19"/>
      <c r="CG15" s="19"/>
      <c r="CH15" s="19"/>
      <c r="CI15" s="19"/>
      <c r="CJ15" s="19"/>
      <c r="CK15" s="19"/>
      <c r="CL15" s="17">
        <f t="shared" si="21"/>
        <v>0</v>
      </c>
      <c r="CM15" s="19"/>
      <c r="CN15" s="19"/>
      <c r="CO15" s="19"/>
      <c r="CP15" s="19"/>
      <c r="CQ15" s="19"/>
      <c r="CR15" s="19"/>
      <c r="CS15" s="17">
        <f t="shared" si="16"/>
        <v>0</v>
      </c>
      <c r="CT15" s="17"/>
      <c r="CU15" s="17"/>
      <c r="CV15" s="17"/>
      <c r="CW15" s="17"/>
      <c r="CX15" s="17"/>
      <c r="CY15" s="17"/>
      <c r="CZ15" s="17">
        <f t="shared" si="17"/>
        <v>0</v>
      </c>
      <c r="DA15" s="19"/>
      <c r="DB15" s="19"/>
      <c r="DC15" s="19"/>
      <c r="DD15" s="19"/>
      <c r="DE15" s="19"/>
      <c r="DF15" s="19"/>
      <c r="DG15" s="17">
        <f t="shared" si="18"/>
        <v>0</v>
      </c>
      <c r="DH15" s="16"/>
      <c r="DI15" s="16"/>
      <c r="DK15" s="26">
        <v>3000000</v>
      </c>
      <c r="DL15" s="29">
        <v>171</v>
      </c>
      <c r="DM15" s="26">
        <f t="shared" si="22"/>
        <v>13680000</v>
      </c>
      <c r="DN15" s="28">
        <v>75</v>
      </c>
      <c r="DO15" s="26">
        <f>DN15*150000</f>
        <v>11250000</v>
      </c>
      <c r="DP15" s="28">
        <v>171</v>
      </c>
      <c r="DQ15" s="26">
        <f t="shared" si="23"/>
        <v>8550000</v>
      </c>
      <c r="DR15" s="28">
        <v>7</v>
      </c>
      <c r="DS15" s="26">
        <f>DR15*250000</f>
        <v>1750000</v>
      </c>
      <c r="DT15" s="27"/>
      <c r="DU15" s="26">
        <f t="shared" si="24"/>
        <v>0</v>
      </c>
      <c r="DV15" s="27"/>
      <c r="DW15" s="26">
        <f>DV28*300000</f>
        <v>0</v>
      </c>
      <c r="DX15" s="27"/>
      <c r="DY15" s="26">
        <f t="shared" si="25"/>
        <v>0</v>
      </c>
      <c r="DZ15" s="27"/>
      <c r="EA15" s="26">
        <f t="shared" si="26"/>
        <v>0</v>
      </c>
      <c r="EB15" s="25">
        <f t="shared" si="27"/>
        <v>38230000</v>
      </c>
      <c r="EC15" s="30"/>
      <c r="ED15" s="30"/>
      <c r="EE15" s="30"/>
      <c r="EF15" s="30"/>
      <c r="EG15" s="30"/>
    </row>
    <row r="16" spans="1:137" s="11" customFormat="1" ht="23.25" customHeight="1">
      <c r="A16" s="74">
        <v>9</v>
      </c>
      <c r="B16" s="78" t="s">
        <v>4</v>
      </c>
      <c r="C16" s="79">
        <f t="shared" si="0"/>
        <v>34270000</v>
      </c>
      <c r="D16" s="77">
        <v>34270000</v>
      </c>
      <c r="E16" s="77">
        <f t="shared" si="19"/>
        <v>0</v>
      </c>
      <c r="F16" s="77">
        <f t="shared" si="20"/>
        <v>0</v>
      </c>
      <c r="G16" s="55"/>
      <c r="I16" s="19"/>
      <c r="J16" s="19"/>
      <c r="K16" s="17">
        <f t="shared" si="1"/>
        <v>0</v>
      </c>
      <c r="L16" s="17"/>
      <c r="M16" s="17"/>
      <c r="N16" s="17">
        <f t="shared" si="2"/>
        <v>0</v>
      </c>
      <c r="O16" s="20">
        <v>1</v>
      </c>
      <c r="P16" s="20">
        <v>5</v>
      </c>
      <c r="Q16" s="17">
        <f t="shared" si="3"/>
        <v>2875000</v>
      </c>
      <c r="R16" s="19"/>
      <c r="S16" s="19"/>
      <c r="T16" s="17">
        <f t="shared" si="4"/>
        <v>0</v>
      </c>
      <c r="U16" s="17"/>
      <c r="V16" s="17"/>
      <c r="W16" s="17">
        <f t="shared" si="5"/>
        <v>0</v>
      </c>
      <c r="X16" s="19"/>
      <c r="Y16" s="19"/>
      <c r="Z16" s="17">
        <f t="shared" si="6"/>
        <v>0</v>
      </c>
      <c r="AA16" s="19"/>
      <c r="AB16" s="19"/>
      <c r="AC16" s="17">
        <f t="shared" si="7"/>
        <v>0</v>
      </c>
      <c r="AD16" s="19">
        <v>1</v>
      </c>
      <c r="AE16" s="19">
        <v>5</v>
      </c>
      <c r="AF16" s="17">
        <f t="shared" si="8"/>
        <v>1725000</v>
      </c>
      <c r="AG16" s="19">
        <v>1</v>
      </c>
      <c r="AH16" s="19">
        <v>5</v>
      </c>
      <c r="AI16" s="17">
        <f t="shared" si="9"/>
        <v>1725000</v>
      </c>
      <c r="AJ16" s="19"/>
      <c r="AK16" s="19"/>
      <c r="AL16" s="19"/>
      <c r="AM16" s="19"/>
      <c r="AN16" s="19"/>
      <c r="AO16" s="17">
        <f t="shared" si="10"/>
        <v>0</v>
      </c>
      <c r="AP16" s="19"/>
      <c r="AQ16" s="19"/>
      <c r="AR16" s="19"/>
      <c r="AS16" s="19"/>
      <c r="AT16" s="19"/>
      <c r="AU16" s="17">
        <f t="shared" si="11"/>
        <v>0</v>
      </c>
      <c r="AV16" s="19">
        <v>1</v>
      </c>
      <c r="AW16" s="19"/>
      <c r="AX16" s="19"/>
      <c r="AY16" s="19"/>
      <c r="AZ16" s="19">
        <v>3</v>
      </c>
      <c r="BA16" s="17">
        <f t="shared" si="29"/>
        <v>1725000</v>
      </c>
      <c r="BB16" s="19">
        <v>5</v>
      </c>
      <c r="BC16" s="19">
        <v>2</v>
      </c>
      <c r="BD16" s="19"/>
      <c r="BE16" s="19"/>
      <c r="BF16" s="19">
        <v>3</v>
      </c>
      <c r="BG16" s="17">
        <f t="shared" si="13"/>
        <v>10005000</v>
      </c>
      <c r="BH16" s="19"/>
      <c r="BI16" s="19"/>
      <c r="BJ16" s="19"/>
      <c r="BK16" s="19"/>
      <c r="BL16" s="17">
        <f t="shared" si="28"/>
        <v>0</v>
      </c>
      <c r="BM16" s="19"/>
      <c r="BN16" s="19"/>
      <c r="BO16" s="19"/>
      <c r="BP16" s="19"/>
      <c r="BQ16" s="17">
        <f>(BM16*600000*BP16)+(BN16*3637500/2)+(BO16*7000000)</f>
        <v>0</v>
      </c>
      <c r="BR16" s="19"/>
      <c r="BS16" s="19"/>
      <c r="BT16" s="19"/>
      <c r="BU16" s="19"/>
      <c r="BV16" s="19"/>
      <c r="BW16" s="19"/>
      <c r="BX16" s="17">
        <f t="shared" si="14"/>
        <v>0</v>
      </c>
      <c r="BY16" s="19"/>
      <c r="BZ16" s="19"/>
      <c r="CA16" s="19"/>
      <c r="CB16" s="19"/>
      <c r="CC16" s="19"/>
      <c r="CD16" s="19"/>
      <c r="CE16" s="17">
        <f t="shared" si="15"/>
        <v>0</v>
      </c>
      <c r="CF16" s="19"/>
      <c r="CG16" s="19"/>
      <c r="CH16" s="19"/>
      <c r="CI16" s="19"/>
      <c r="CJ16" s="19"/>
      <c r="CK16" s="19"/>
      <c r="CL16" s="17">
        <f t="shared" si="21"/>
        <v>0</v>
      </c>
      <c r="CM16" s="19"/>
      <c r="CN16" s="19"/>
      <c r="CO16" s="19"/>
      <c r="CP16" s="19"/>
      <c r="CQ16" s="19"/>
      <c r="CR16" s="19"/>
      <c r="CS16" s="17">
        <f t="shared" si="16"/>
        <v>0</v>
      </c>
      <c r="CT16" s="17"/>
      <c r="CU16" s="17"/>
      <c r="CV16" s="17"/>
      <c r="CW16" s="17"/>
      <c r="CX16" s="17"/>
      <c r="CY16" s="17"/>
      <c r="CZ16" s="17">
        <f t="shared" si="17"/>
        <v>0</v>
      </c>
      <c r="DA16" s="19"/>
      <c r="DB16" s="19"/>
      <c r="DC16" s="19"/>
      <c r="DD16" s="19"/>
      <c r="DE16" s="19"/>
      <c r="DF16" s="19"/>
      <c r="DG16" s="17">
        <f t="shared" si="18"/>
        <v>0</v>
      </c>
      <c r="DH16" s="16"/>
      <c r="DI16" s="16"/>
      <c r="DK16" s="26">
        <v>3000000</v>
      </c>
      <c r="DL16" s="29">
        <v>171</v>
      </c>
      <c r="DM16" s="26">
        <f t="shared" si="22"/>
        <v>13680000</v>
      </c>
      <c r="DN16" s="28">
        <v>75</v>
      </c>
      <c r="DO16" s="26">
        <f>DN16*100000</f>
        <v>7500000</v>
      </c>
      <c r="DP16" s="28">
        <v>171</v>
      </c>
      <c r="DQ16" s="26">
        <f t="shared" si="23"/>
        <v>8550000</v>
      </c>
      <c r="DR16" s="28">
        <v>7</v>
      </c>
      <c r="DS16" s="26">
        <f>DR16*400000</f>
        <v>2800000</v>
      </c>
      <c r="DT16" s="27"/>
      <c r="DU16" s="26">
        <f t="shared" si="24"/>
        <v>0</v>
      </c>
      <c r="DV16" s="27"/>
      <c r="DW16" s="26" t="e">
        <f>#REF!*300000</f>
        <v>#REF!</v>
      </c>
      <c r="DX16" s="27"/>
      <c r="DY16" s="26">
        <f t="shared" si="25"/>
        <v>0</v>
      </c>
      <c r="DZ16" s="27"/>
      <c r="EA16" s="26">
        <f t="shared" si="26"/>
        <v>0</v>
      </c>
      <c r="EB16" s="25">
        <f t="shared" si="27"/>
        <v>35530000</v>
      </c>
      <c r="EC16" s="30"/>
      <c r="ED16" s="30"/>
      <c r="EE16" s="30"/>
      <c r="EF16" s="30"/>
      <c r="EG16" s="30"/>
    </row>
    <row r="17" spans="1:137" s="11" customFormat="1" ht="23.25" customHeight="1">
      <c r="A17" s="74">
        <v>10</v>
      </c>
      <c r="B17" s="78" t="s">
        <v>2</v>
      </c>
      <c r="C17" s="79">
        <f t="shared" si="0"/>
        <v>11040000</v>
      </c>
      <c r="D17" s="77">
        <v>11040000</v>
      </c>
      <c r="E17" s="77">
        <f t="shared" si="19"/>
        <v>0</v>
      </c>
      <c r="F17" s="77">
        <f t="shared" si="20"/>
        <v>0</v>
      </c>
      <c r="G17" s="55"/>
      <c r="I17" s="19"/>
      <c r="J17" s="19"/>
      <c r="K17" s="17">
        <f t="shared" si="1"/>
        <v>0</v>
      </c>
      <c r="L17" s="17"/>
      <c r="M17" s="17"/>
      <c r="N17" s="17">
        <f t="shared" si="2"/>
        <v>0</v>
      </c>
      <c r="O17" s="20"/>
      <c r="P17" s="20"/>
      <c r="Q17" s="17">
        <f t="shared" si="3"/>
        <v>0</v>
      </c>
      <c r="R17" s="19"/>
      <c r="S17" s="19"/>
      <c r="T17" s="17">
        <f t="shared" si="4"/>
        <v>0</v>
      </c>
      <c r="U17" s="17"/>
      <c r="V17" s="17"/>
      <c r="W17" s="17">
        <f t="shared" si="5"/>
        <v>0</v>
      </c>
      <c r="X17" s="19"/>
      <c r="Y17" s="19"/>
      <c r="Z17" s="17">
        <f t="shared" si="6"/>
        <v>0</v>
      </c>
      <c r="AA17" s="19"/>
      <c r="AB17" s="19"/>
      <c r="AC17" s="17">
        <f t="shared" si="7"/>
        <v>0</v>
      </c>
      <c r="AD17" s="19"/>
      <c r="AE17" s="19"/>
      <c r="AF17" s="17">
        <f t="shared" si="8"/>
        <v>0</v>
      </c>
      <c r="AG17" s="19">
        <v>1</v>
      </c>
      <c r="AH17" s="19">
        <v>5</v>
      </c>
      <c r="AI17" s="17">
        <f t="shared" si="9"/>
        <v>1725000</v>
      </c>
      <c r="AJ17" s="19"/>
      <c r="AK17" s="19"/>
      <c r="AL17" s="19"/>
      <c r="AM17" s="19"/>
      <c r="AN17" s="19"/>
      <c r="AO17" s="17">
        <f t="shared" si="10"/>
        <v>0</v>
      </c>
      <c r="AP17" s="19"/>
      <c r="AQ17" s="19"/>
      <c r="AR17" s="19"/>
      <c r="AS17" s="19"/>
      <c r="AT17" s="19"/>
      <c r="AU17" s="17">
        <f t="shared" si="11"/>
        <v>0</v>
      </c>
      <c r="AV17" s="19">
        <v>2</v>
      </c>
      <c r="AW17" s="19">
        <v>1</v>
      </c>
      <c r="AX17" s="19"/>
      <c r="AY17" s="19"/>
      <c r="AZ17" s="19">
        <v>3</v>
      </c>
      <c r="BA17" s="17">
        <f t="shared" si="29"/>
        <v>4140000</v>
      </c>
      <c r="BB17" s="19">
        <v>2</v>
      </c>
      <c r="BC17" s="19">
        <v>1</v>
      </c>
      <c r="BD17" s="19"/>
      <c r="BE17" s="19"/>
      <c r="BF17" s="19">
        <v>3</v>
      </c>
      <c r="BG17" s="17">
        <f t="shared" si="13"/>
        <v>4140000</v>
      </c>
      <c r="BH17" s="19"/>
      <c r="BI17" s="19"/>
      <c r="BJ17" s="19"/>
      <c r="BK17" s="19"/>
      <c r="BL17" s="17">
        <f t="shared" si="28"/>
        <v>0</v>
      </c>
      <c r="BM17" s="19"/>
      <c r="BN17" s="19"/>
      <c r="BO17" s="19"/>
      <c r="BP17" s="19"/>
      <c r="BQ17" s="17">
        <f>(BM17*600000*BP17)+(BN17*3637500/2)+(BO17*7000000)</f>
        <v>0</v>
      </c>
      <c r="BR17" s="19"/>
      <c r="BS17" s="19"/>
      <c r="BT17" s="19"/>
      <c r="BU17" s="19"/>
      <c r="BV17" s="19"/>
      <c r="BW17" s="19"/>
      <c r="BX17" s="17">
        <f t="shared" si="14"/>
        <v>0</v>
      </c>
      <c r="BY17" s="19"/>
      <c r="BZ17" s="19"/>
      <c r="CA17" s="19"/>
      <c r="CB17" s="19"/>
      <c r="CC17" s="19"/>
      <c r="CD17" s="19"/>
      <c r="CE17" s="17">
        <f t="shared" si="15"/>
        <v>0</v>
      </c>
      <c r="CF17" s="19"/>
      <c r="CG17" s="19"/>
      <c r="CH17" s="19"/>
      <c r="CI17" s="19"/>
      <c r="CJ17" s="19"/>
      <c r="CK17" s="19"/>
      <c r="CL17" s="17">
        <f t="shared" si="21"/>
        <v>0</v>
      </c>
      <c r="CM17" s="19"/>
      <c r="CN17" s="19"/>
      <c r="CO17" s="19"/>
      <c r="CP17" s="19"/>
      <c r="CQ17" s="19"/>
      <c r="CR17" s="19"/>
      <c r="CS17" s="17">
        <f t="shared" si="16"/>
        <v>0</v>
      </c>
      <c r="CT17" s="17"/>
      <c r="CU17" s="17"/>
      <c r="CV17" s="17"/>
      <c r="CW17" s="17"/>
      <c r="CX17" s="17"/>
      <c r="CY17" s="17"/>
      <c r="CZ17" s="17">
        <f t="shared" si="17"/>
        <v>0</v>
      </c>
      <c r="DA17" s="19"/>
      <c r="DB17" s="19"/>
      <c r="DC17" s="19"/>
      <c r="DD17" s="19"/>
      <c r="DE17" s="19"/>
      <c r="DF17" s="19"/>
      <c r="DG17" s="17">
        <f t="shared" si="18"/>
        <v>0</v>
      </c>
      <c r="DH17" s="16"/>
      <c r="DI17" s="16"/>
      <c r="DK17" s="26">
        <v>3000000</v>
      </c>
      <c r="DL17" s="29">
        <v>171</v>
      </c>
      <c r="DM17" s="26">
        <f t="shared" si="22"/>
        <v>13680000</v>
      </c>
      <c r="DN17" s="28">
        <v>75</v>
      </c>
      <c r="DO17" s="26">
        <f>DN17*200000</f>
        <v>15000000</v>
      </c>
      <c r="DP17" s="28">
        <v>171</v>
      </c>
      <c r="DQ17" s="26">
        <f t="shared" si="23"/>
        <v>8550000</v>
      </c>
      <c r="DR17" s="28">
        <v>7</v>
      </c>
      <c r="DS17" s="26">
        <f>DR17*250000</f>
        <v>1750000</v>
      </c>
      <c r="DT17" s="27"/>
      <c r="DU17" s="26">
        <f t="shared" si="24"/>
        <v>0</v>
      </c>
      <c r="DV17" s="27"/>
      <c r="DW17" s="26" t="e">
        <f>#REF!*300000</f>
        <v>#REF!</v>
      </c>
      <c r="DX17" s="27"/>
      <c r="DY17" s="26">
        <f t="shared" si="25"/>
        <v>0</v>
      </c>
      <c r="DZ17" s="27"/>
      <c r="EA17" s="26">
        <f t="shared" si="26"/>
        <v>0</v>
      </c>
      <c r="EB17" s="25">
        <f t="shared" si="27"/>
        <v>41980000</v>
      </c>
      <c r="EC17" s="30"/>
      <c r="ED17" s="30"/>
      <c r="EE17" s="30"/>
      <c r="EF17" s="30"/>
      <c r="EG17" s="30"/>
    </row>
    <row r="18" spans="1:137" s="11" customFormat="1" ht="23.25" customHeight="1">
      <c r="A18" s="74">
        <v>11</v>
      </c>
      <c r="B18" s="78" t="s">
        <v>12</v>
      </c>
      <c r="C18" s="79">
        <f t="shared" si="0"/>
        <v>29557500</v>
      </c>
      <c r="D18" s="77">
        <v>24495000</v>
      </c>
      <c r="E18" s="77">
        <v>5062500</v>
      </c>
      <c r="F18" s="77">
        <f t="shared" si="20"/>
        <v>0</v>
      </c>
      <c r="G18" s="55"/>
      <c r="I18" s="19"/>
      <c r="J18" s="19"/>
      <c r="K18" s="17">
        <f t="shared" si="1"/>
        <v>0</v>
      </c>
      <c r="L18" s="20"/>
      <c r="M18" s="20"/>
      <c r="N18" s="17">
        <f t="shared" si="2"/>
        <v>0</v>
      </c>
      <c r="O18" s="20">
        <v>3</v>
      </c>
      <c r="P18" s="20">
        <v>5</v>
      </c>
      <c r="Q18" s="17">
        <f t="shared" si="3"/>
        <v>8625000</v>
      </c>
      <c r="R18" s="19"/>
      <c r="S18" s="19"/>
      <c r="T18" s="17">
        <f t="shared" si="4"/>
        <v>0</v>
      </c>
      <c r="U18" s="17"/>
      <c r="V18" s="17"/>
      <c r="W18" s="17">
        <f t="shared" si="5"/>
        <v>0</v>
      </c>
      <c r="X18" s="19"/>
      <c r="Y18" s="19"/>
      <c r="Z18" s="17">
        <f t="shared" si="6"/>
        <v>0</v>
      </c>
      <c r="AA18" s="19"/>
      <c r="AB18" s="19"/>
      <c r="AC18" s="17">
        <f t="shared" si="7"/>
        <v>0</v>
      </c>
      <c r="AD18" s="19">
        <v>1</v>
      </c>
      <c r="AE18" s="19">
        <v>5</v>
      </c>
      <c r="AF18" s="17">
        <f t="shared" si="8"/>
        <v>1725000</v>
      </c>
      <c r="AG18" s="19">
        <v>1</v>
      </c>
      <c r="AH18" s="19">
        <v>5</v>
      </c>
      <c r="AI18" s="17">
        <f t="shared" si="9"/>
        <v>1725000</v>
      </c>
      <c r="AJ18" s="19"/>
      <c r="AK18" s="19"/>
      <c r="AL18" s="19"/>
      <c r="AM18" s="19"/>
      <c r="AN18" s="19"/>
      <c r="AO18" s="17">
        <f t="shared" si="10"/>
        <v>0</v>
      </c>
      <c r="AP18" s="19"/>
      <c r="AQ18" s="19"/>
      <c r="AR18" s="19"/>
      <c r="AS18" s="19"/>
      <c r="AT18" s="19"/>
      <c r="AU18" s="17">
        <f t="shared" si="11"/>
        <v>0</v>
      </c>
      <c r="AV18" s="19">
        <v>1</v>
      </c>
      <c r="AW18" s="19"/>
      <c r="AX18" s="19"/>
      <c r="AY18" s="19"/>
      <c r="AZ18" s="19">
        <v>3</v>
      </c>
      <c r="BA18" s="17">
        <f t="shared" si="29"/>
        <v>1725000</v>
      </c>
      <c r="BB18" s="19">
        <v>1</v>
      </c>
      <c r="BC18" s="19">
        <v>1</v>
      </c>
      <c r="BD18" s="19"/>
      <c r="BE18" s="19">
        <v>1</v>
      </c>
      <c r="BF18" s="19">
        <v>3</v>
      </c>
      <c r="BG18" s="17">
        <f t="shared" si="13"/>
        <v>3450000</v>
      </c>
      <c r="BH18" s="19"/>
      <c r="BI18" s="19"/>
      <c r="BJ18" s="19"/>
      <c r="BK18" s="19"/>
      <c r="BL18" s="17">
        <f t="shared" si="28"/>
        <v>0</v>
      </c>
      <c r="BM18" s="19">
        <v>1</v>
      </c>
      <c r="BN18" s="19">
        <v>1</v>
      </c>
      <c r="BO18" s="19"/>
      <c r="BP18" s="19">
        <v>3</v>
      </c>
      <c r="BQ18" s="17">
        <f>(BM18*600000*BP18)+(BN18*4125000/2)+(BO18*7000000)</f>
        <v>3862500</v>
      </c>
      <c r="BR18" s="19"/>
      <c r="BS18" s="19"/>
      <c r="BT18" s="19"/>
      <c r="BU18" s="19"/>
      <c r="BV18" s="19"/>
      <c r="BW18" s="19"/>
      <c r="BX18" s="17">
        <f t="shared" si="14"/>
        <v>0</v>
      </c>
      <c r="BY18" s="19"/>
      <c r="BZ18" s="19"/>
      <c r="CA18" s="19"/>
      <c r="CB18" s="19"/>
      <c r="CC18" s="19"/>
      <c r="CD18" s="19"/>
      <c r="CE18" s="17">
        <f t="shared" si="15"/>
        <v>0</v>
      </c>
      <c r="CF18" s="19"/>
      <c r="CG18" s="19"/>
      <c r="CH18" s="19"/>
      <c r="CI18" s="19"/>
      <c r="CJ18" s="19"/>
      <c r="CK18" s="19"/>
      <c r="CL18" s="17">
        <f t="shared" si="21"/>
        <v>0</v>
      </c>
      <c r="CM18" s="19"/>
      <c r="CN18" s="19"/>
      <c r="CO18" s="19"/>
      <c r="CP18" s="19"/>
      <c r="CQ18" s="19"/>
      <c r="CR18" s="19"/>
      <c r="CS18" s="17">
        <f t="shared" si="16"/>
        <v>0</v>
      </c>
      <c r="CT18" s="17"/>
      <c r="CU18" s="17"/>
      <c r="CV18" s="17"/>
      <c r="CW18" s="17"/>
      <c r="CX18" s="17"/>
      <c r="CY18" s="17"/>
      <c r="CZ18" s="17">
        <f t="shared" si="17"/>
        <v>0</v>
      </c>
      <c r="DA18" s="19"/>
      <c r="DB18" s="19"/>
      <c r="DC18" s="19"/>
      <c r="DD18" s="19"/>
      <c r="DE18" s="19"/>
      <c r="DF18" s="19"/>
      <c r="DG18" s="17">
        <f t="shared" si="18"/>
        <v>0</v>
      </c>
      <c r="DH18" s="16"/>
      <c r="DI18" s="16"/>
      <c r="DK18" s="26">
        <v>3000000</v>
      </c>
      <c r="DL18" s="29">
        <v>171</v>
      </c>
      <c r="DM18" s="26">
        <f t="shared" si="22"/>
        <v>13680000</v>
      </c>
      <c r="DN18" s="28">
        <v>75</v>
      </c>
      <c r="DO18" s="26">
        <f>DN18*400000</f>
        <v>30000000</v>
      </c>
      <c r="DP18" s="28">
        <v>171</v>
      </c>
      <c r="DQ18" s="26">
        <f t="shared" si="23"/>
        <v>8550000</v>
      </c>
      <c r="DR18" s="28">
        <v>7</v>
      </c>
      <c r="DS18" s="26">
        <f>DR18*400000</f>
        <v>2800000</v>
      </c>
      <c r="DT18" s="27"/>
      <c r="DU18" s="26">
        <f t="shared" si="24"/>
        <v>0</v>
      </c>
      <c r="DV18" s="27"/>
      <c r="DW18" s="26">
        <f>DV29*300000</f>
        <v>0</v>
      </c>
      <c r="DX18" s="27"/>
      <c r="DY18" s="26">
        <f t="shared" si="25"/>
        <v>0</v>
      </c>
      <c r="DZ18" s="27"/>
      <c r="EA18" s="26">
        <f t="shared" si="26"/>
        <v>0</v>
      </c>
      <c r="EB18" s="25">
        <f t="shared" si="27"/>
        <v>58030000</v>
      </c>
      <c r="EC18" s="30"/>
      <c r="ED18" s="30"/>
      <c r="EE18" s="30"/>
      <c r="EF18" s="30"/>
      <c r="EG18" s="30"/>
    </row>
    <row r="19" spans="1:137" s="11" customFormat="1" ht="21.75" customHeight="1">
      <c r="A19" s="74">
        <v>12</v>
      </c>
      <c r="B19" s="78" t="s">
        <v>10</v>
      </c>
      <c r="C19" s="79">
        <f t="shared" si="0"/>
        <v>16100000</v>
      </c>
      <c r="D19" s="77">
        <v>16100000</v>
      </c>
      <c r="E19" s="77">
        <f>BL19+BQ19+BX19</f>
        <v>0</v>
      </c>
      <c r="F19" s="77">
        <f t="shared" si="20"/>
        <v>0</v>
      </c>
      <c r="G19" s="55"/>
      <c r="I19" s="19"/>
      <c r="J19" s="19"/>
      <c r="K19" s="17">
        <f t="shared" si="1"/>
        <v>0</v>
      </c>
      <c r="L19" s="17"/>
      <c r="M19" s="17"/>
      <c r="N19" s="17">
        <f t="shared" si="2"/>
        <v>0</v>
      </c>
      <c r="O19" s="17"/>
      <c r="P19" s="17"/>
      <c r="Q19" s="17">
        <f t="shared" si="3"/>
        <v>0</v>
      </c>
      <c r="R19" s="19"/>
      <c r="S19" s="19"/>
      <c r="T19" s="17">
        <f t="shared" si="4"/>
        <v>0</v>
      </c>
      <c r="U19" s="17"/>
      <c r="V19" s="17"/>
      <c r="W19" s="17">
        <f t="shared" si="5"/>
        <v>0</v>
      </c>
      <c r="X19" s="19"/>
      <c r="Y19" s="19"/>
      <c r="Z19" s="17"/>
      <c r="AA19" s="19"/>
      <c r="AB19" s="19"/>
      <c r="AC19" s="17">
        <f t="shared" si="7"/>
        <v>0</v>
      </c>
      <c r="AD19" s="19">
        <v>1</v>
      </c>
      <c r="AE19" s="19">
        <v>5</v>
      </c>
      <c r="AF19" s="17">
        <f t="shared" si="8"/>
        <v>1725000</v>
      </c>
      <c r="AG19" s="19">
        <v>1</v>
      </c>
      <c r="AH19" s="19">
        <v>5</v>
      </c>
      <c r="AI19" s="17">
        <f t="shared" si="9"/>
        <v>1725000</v>
      </c>
      <c r="AJ19" s="19"/>
      <c r="AK19" s="19"/>
      <c r="AL19" s="19"/>
      <c r="AM19" s="19"/>
      <c r="AN19" s="19"/>
      <c r="AO19" s="17">
        <f t="shared" si="10"/>
        <v>0</v>
      </c>
      <c r="AP19" s="19"/>
      <c r="AQ19" s="19"/>
      <c r="AR19" s="19"/>
      <c r="AS19" s="19"/>
      <c r="AT19" s="19"/>
      <c r="AU19" s="17">
        <f t="shared" si="11"/>
        <v>0</v>
      </c>
      <c r="AV19" s="19">
        <v>3</v>
      </c>
      <c r="AW19" s="19"/>
      <c r="AX19" s="19"/>
      <c r="AY19" s="19"/>
      <c r="AZ19" s="19">
        <v>3</v>
      </c>
      <c r="BA19" s="17">
        <f t="shared" si="29"/>
        <v>5175000</v>
      </c>
      <c r="BB19" s="19"/>
      <c r="BC19" s="19"/>
      <c r="BD19" s="19"/>
      <c r="BE19" s="19"/>
      <c r="BF19" s="19"/>
      <c r="BG19" s="17">
        <f t="shared" si="13"/>
        <v>0</v>
      </c>
      <c r="BH19" s="19"/>
      <c r="BI19" s="19"/>
      <c r="BJ19" s="19"/>
      <c r="BK19" s="19"/>
      <c r="BL19" s="17">
        <f t="shared" si="28"/>
        <v>0</v>
      </c>
      <c r="BM19" s="19"/>
      <c r="BN19" s="19"/>
      <c r="BO19" s="19"/>
      <c r="BP19" s="19"/>
      <c r="BQ19" s="17">
        <f>(BM19*600000*BP19)+(BN19*3637500/2)+(BO19*7000000)</f>
        <v>0</v>
      </c>
      <c r="BR19" s="19"/>
      <c r="BS19" s="19"/>
      <c r="BT19" s="19"/>
      <c r="BU19" s="19"/>
      <c r="BV19" s="19"/>
      <c r="BW19" s="19"/>
      <c r="BX19" s="17">
        <f t="shared" si="14"/>
        <v>0</v>
      </c>
      <c r="BY19" s="19"/>
      <c r="BZ19" s="19"/>
      <c r="CA19" s="19"/>
      <c r="CB19" s="19"/>
      <c r="CC19" s="19"/>
      <c r="CD19" s="19"/>
      <c r="CE19" s="17">
        <f t="shared" si="15"/>
        <v>0</v>
      </c>
      <c r="CF19" s="19"/>
      <c r="CG19" s="19"/>
      <c r="CH19" s="19"/>
      <c r="CI19" s="19"/>
      <c r="CJ19" s="19"/>
      <c r="CK19" s="19"/>
      <c r="CL19" s="17">
        <f t="shared" si="21"/>
        <v>0</v>
      </c>
      <c r="CM19" s="19"/>
      <c r="CN19" s="19"/>
      <c r="CO19" s="19"/>
      <c r="CP19" s="19"/>
      <c r="CQ19" s="19"/>
      <c r="CR19" s="19"/>
      <c r="CS19" s="17">
        <f t="shared" si="16"/>
        <v>0</v>
      </c>
      <c r="CT19" s="17"/>
      <c r="CU19" s="17"/>
      <c r="CV19" s="17"/>
      <c r="CW19" s="17"/>
      <c r="CX19" s="17"/>
      <c r="CY19" s="17"/>
      <c r="CZ19" s="17">
        <f t="shared" si="17"/>
        <v>0</v>
      </c>
      <c r="DA19" s="19"/>
      <c r="DB19" s="19"/>
      <c r="DC19" s="19"/>
      <c r="DD19" s="19"/>
      <c r="DE19" s="19"/>
      <c r="DF19" s="19"/>
      <c r="DG19" s="17">
        <f t="shared" si="18"/>
        <v>0</v>
      </c>
      <c r="DH19" s="16"/>
      <c r="DI19" s="16"/>
      <c r="DK19" s="26">
        <v>3000000</v>
      </c>
      <c r="DL19" s="29">
        <v>171</v>
      </c>
      <c r="DM19" s="26">
        <f t="shared" si="22"/>
        <v>13680000</v>
      </c>
      <c r="DN19" s="28">
        <v>75</v>
      </c>
      <c r="DO19" s="26">
        <f>DN19*200000</f>
        <v>15000000</v>
      </c>
      <c r="DP19" s="28">
        <v>171</v>
      </c>
      <c r="DQ19" s="26">
        <f t="shared" si="23"/>
        <v>8550000</v>
      </c>
      <c r="DR19" s="28">
        <v>7</v>
      </c>
      <c r="DS19" s="26">
        <f>DR19*200000</f>
        <v>1400000</v>
      </c>
      <c r="DT19" s="27"/>
      <c r="DU19" s="26">
        <f t="shared" si="24"/>
        <v>0</v>
      </c>
      <c r="DV19" s="27"/>
      <c r="DW19" s="26">
        <f>DV31*300000</f>
        <v>0</v>
      </c>
      <c r="DX19" s="27"/>
      <c r="DY19" s="26">
        <f t="shared" si="25"/>
        <v>0</v>
      </c>
      <c r="DZ19" s="27"/>
      <c r="EA19" s="26">
        <f t="shared" si="26"/>
        <v>0</v>
      </c>
      <c r="EB19" s="25">
        <f t="shared" si="27"/>
        <v>41630000</v>
      </c>
      <c r="EC19" s="30"/>
      <c r="ED19" s="30"/>
      <c r="EE19" s="30"/>
      <c r="EF19" s="30"/>
      <c r="EG19" s="30"/>
    </row>
    <row r="20" spans="1:137" s="11" customFormat="1" ht="21.75" customHeight="1">
      <c r="A20" s="74">
        <v>13</v>
      </c>
      <c r="B20" s="78" t="s">
        <v>13</v>
      </c>
      <c r="C20" s="79">
        <f t="shared" si="0"/>
        <v>17930000</v>
      </c>
      <c r="D20" s="77">
        <v>15755000</v>
      </c>
      <c r="E20" s="77">
        <v>2175000</v>
      </c>
      <c r="F20" s="77">
        <f t="shared" si="20"/>
        <v>0</v>
      </c>
      <c r="G20" s="55"/>
      <c r="I20" s="19"/>
      <c r="J20" s="19"/>
      <c r="K20" s="17">
        <f t="shared" si="1"/>
        <v>0</v>
      </c>
      <c r="L20" s="17"/>
      <c r="M20" s="17"/>
      <c r="N20" s="17">
        <f t="shared" si="2"/>
        <v>0</v>
      </c>
      <c r="O20" s="17"/>
      <c r="P20" s="17"/>
      <c r="Q20" s="17">
        <f t="shared" si="3"/>
        <v>0</v>
      </c>
      <c r="R20" s="19"/>
      <c r="S20" s="19"/>
      <c r="T20" s="17">
        <f t="shared" si="4"/>
        <v>0</v>
      </c>
      <c r="U20" s="17"/>
      <c r="V20" s="17"/>
      <c r="W20" s="17">
        <f t="shared" si="5"/>
        <v>0</v>
      </c>
      <c r="X20" s="19"/>
      <c r="Y20" s="19"/>
      <c r="Z20" s="17">
        <f aca="true" t="shared" si="30" ref="Z20:Z25">X20*Y20*(0.3*1150000)</f>
        <v>0</v>
      </c>
      <c r="AA20" s="19"/>
      <c r="AB20" s="19"/>
      <c r="AC20" s="17">
        <f t="shared" si="7"/>
        <v>0</v>
      </c>
      <c r="AD20" s="19">
        <v>1</v>
      </c>
      <c r="AE20" s="19">
        <v>5</v>
      </c>
      <c r="AF20" s="17">
        <f t="shared" si="8"/>
        <v>1725000</v>
      </c>
      <c r="AG20" s="19">
        <v>1</v>
      </c>
      <c r="AH20" s="19">
        <v>5</v>
      </c>
      <c r="AI20" s="17">
        <f t="shared" si="9"/>
        <v>1725000</v>
      </c>
      <c r="AJ20" s="19"/>
      <c r="AK20" s="19"/>
      <c r="AL20" s="19"/>
      <c r="AM20" s="19"/>
      <c r="AN20" s="19"/>
      <c r="AO20" s="17">
        <f t="shared" si="10"/>
        <v>0</v>
      </c>
      <c r="AP20" s="19"/>
      <c r="AQ20" s="19"/>
      <c r="AR20" s="19"/>
      <c r="AS20" s="19"/>
      <c r="AT20" s="19"/>
      <c r="AU20" s="17">
        <f t="shared" si="11"/>
        <v>0</v>
      </c>
      <c r="AV20" s="19">
        <v>4</v>
      </c>
      <c r="AW20" s="19"/>
      <c r="AX20" s="19">
        <v>1</v>
      </c>
      <c r="AY20" s="19"/>
      <c r="AZ20" s="19">
        <v>3</v>
      </c>
      <c r="BA20" s="17">
        <f t="shared" si="29"/>
        <v>7590000</v>
      </c>
      <c r="BB20" s="19">
        <v>4</v>
      </c>
      <c r="BC20" s="19">
        <v>1</v>
      </c>
      <c r="BD20" s="19"/>
      <c r="BE20" s="19"/>
      <c r="BF20" s="19">
        <v>3</v>
      </c>
      <c r="BG20" s="17">
        <f t="shared" si="13"/>
        <v>7590000</v>
      </c>
      <c r="BH20" s="19"/>
      <c r="BI20" s="19"/>
      <c r="BJ20" s="19"/>
      <c r="BK20" s="19"/>
      <c r="BL20" s="17">
        <f t="shared" si="28"/>
        <v>0</v>
      </c>
      <c r="BM20" s="19"/>
      <c r="BN20" s="19"/>
      <c r="BO20" s="19"/>
      <c r="BP20" s="19"/>
      <c r="BQ20" s="17">
        <f>(BM20*600000*BP20)+(BN20*3637500/2)+(BO20*7000000)</f>
        <v>0</v>
      </c>
      <c r="BR20" s="19">
        <v>1</v>
      </c>
      <c r="BS20" s="19"/>
      <c r="BT20" s="19">
        <v>1</v>
      </c>
      <c r="BU20" s="19"/>
      <c r="BV20" s="19">
        <v>1</v>
      </c>
      <c r="BW20" s="19">
        <v>2</v>
      </c>
      <c r="BX20" s="17">
        <f t="shared" si="14"/>
        <v>2012500</v>
      </c>
      <c r="BY20" s="19"/>
      <c r="BZ20" s="19"/>
      <c r="CA20" s="19"/>
      <c r="CB20" s="19"/>
      <c r="CC20" s="19"/>
      <c r="CD20" s="19"/>
      <c r="CE20" s="17">
        <f t="shared" si="15"/>
        <v>0</v>
      </c>
      <c r="CF20" s="19"/>
      <c r="CG20" s="19"/>
      <c r="CH20" s="19"/>
      <c r="CI20" s="19"/>
      <c r="CJ20" s="19"/>
      <c r="CK20" s="19"/>
      <c r="CL20" s="17">
        <f t="shared" si="21"/>
        <v>0</v>
      </c>
      <c r="CM20" s="19"/>
      <c r="CN20" s="19"/>
      <c r="CO20" s="19"/>
      <c r="CP20" s="19"/>
      <c r="CQ20" s="19"/>
      <c r="CR20" s="19"/>
      <c r="CS20" s="17">
        <f t="shared" si="16"/>
        <v>0</v>
      </c>
      <c r="CT20" s="17"/>
      <c r="CU20" s="17"/>
      <c r="CV20" s="17"/>
      <c r="CW20" s="17"/>
      <c r="CX20" s="17"/>
      <c r="CY20" s="17"/>
      <c r="CZ20" s="17">
        <f t="shared" si="17"/>
        <v>0</v>
      </c>
      <c r="DA20" s="19"/>
      <c r="DB20" s="19"/>
      <c r="DC20" s="19"/>
      <c r="DD20" s="19"/>
      <c r="DE20" s="19"/>
      <c r="DF20" s="19"/>
      <c r="DG20" s="17">
        <f t="shared" si="18"/>
        <v>0</v>
      </c>
      <c r="DH20" s="16"/>
      <c r="DI20" s="16"/>
      <c r="DK20" s="26">
        <v>3000000</v>
      </c>
      <c r="DL20" s="29">
        <v>171</v>
      </c>
      <c r="DM20" s="26">
        <f t="shared" si="22"/>
        <v>13680000</v>
      </c>
      <c r="DN20" s="28">
        <v>75</v>
      </c>
      <c r="DO20" s="26">
        <f aca="true" t="shared" si="31" ref="DO20:DO25">DN20*400000</f>
        <v>30000000</v>
      </c>
      <c r="DP20" s="28">
        <v>171</v>
      </c>
      <c r="DQ20" s="26">
        <f t="shared" si="23"/>
        <v>8550000</v>
      </c>
      <c r="DR20" s="28">
        <v>7</v>
      </c>
      <c r="DS20" s="26">
        <f>DR20*400000</f>
        <v>2800000</v>
      </c>
      <c r="DT20" s="27"/>
      <c r="DU20" s="26">
        <f t="shared" si="24"/>
        <v>0</v>
      </c>
      <c r="DV20" s="27"/>
      <c r="DW20" s="26">
        <f>DV33*300000</f>
        <v>0</v>
      </c>
      <c r="DX20" s="27"/>
      <c r="DY20" s="26">
        <f t="shared" si="25"/>
        <v>0</v>
      </c>
      <c r="DZ20" s="27"/>
      <c r="EA20" s="26">
        <f t="shared" si="26"/>
        <v>0</v>
      </c>
      <c r="EB20" s="25">
        <f t="shared" si="27"/>
        <v>58030000</v>
      </c>
      <c r="EC20" s="30"/>
      <c r="ED20" s="30"/>
      <c r="EE20" s="30"/>
      <c r="EF20" s="30"/>
      <c r="EG20" s="30"/>
    </row>
    <row r="21" spans="1:137" s="11" customFormat="1" ht="21.75" customHeight="1">
      <c r="A21" s="74">
        <v>14</v>
      </c>
      <c r="B21" s="78" t="s">
        <v>14</v>
      </c>
      <c r="C21" s="79">
        <f t="shared" si="0"/>
        <v>33777500</v>
      </c>
      <c r="D21" s="77">
        <v>12765000</v>
      </c>
      <c r="E21" s="77">
        <v>21012500</v>
      </c>
      <c r="F21" s="77">
        <f t="shared" si="20"/>
        <v>0</v>
      </c>
      <c r="G21" s="56"/>
      <c r="I21" s="19"/>
      <c r="J21" s="19"/>
      <c r="K21" s="17">
        <f t="shared" si="1"/>
        <v>0</v>
      </c>
      <c r="L21" s="17"/>
      <c r="M21" s="17"/>
      <c r="N21" s="17">
        <f t="shared" si="2"/>
        <v>0</v>
      </c>
      <c r="O21" s="17"/>
      <c r="P21" s="17"/>
      <c r="Q21" s="17">
        <f t="shared" si="3"/>
        <v>0</v>
      </c>
      <c r="R21" s="19"/>
      <c r="S21" s="19"/>
      <c r="T21" s="17">
        <f t="shared" si="4"/>
        <v>0</v>
      </c>
      <c r="U21" s="17"/>
      <c r="V21" s="17"/>
      <c r="W21" s="17">
        <f t="shared" si="5"/>
        <v>0</v>
      </c>
      <c r="X21" s="19"/>
      <c r="Y21" s="19"/>
      <c r="Z21" s="17">
        <f t="shared" si="30"/>
        <v>0</v>
      </c>
      <c r="AA21" s="19"/>
      <c r="AB21" s="19"/>
      <c r="AC21" s="17">
        <f t="shared" si="7"/>
        <v>0</v>
      </c>
      <c r="AD21" s="19"/>
      <c r="AE21" s="19"/>
      <c r="AF21" s="17">
        <f t="shared" si="8"/>
        <v>0</v>
      </c>
      <c r="AG21" s="19">
        <v>1</v>
      </c>
      <c r="AH21" s="19">
        <v>5</v>
      </c>
      <c r="AI21" s="17">
        <f t="shared" si="9"/>
        <v>1725000</v>
      </c>
      <c r="AJ21" s="19"/>
      <c r="AK21" s="19"/>
      <c r="AL21" s="19"/>
      <c r="AM21" s="19"/>
      <c r="AN21" s="19"/>
      <c r="AO21" s="17">
        <f t="shared" si="10"/>
        <v>0</v>
      </c>
      <c r="AP21" s="19"/>
      <c r="AQ21" s="19"/>
      <c r="AR21" s="19"/>
      <c r="AS21" s="19"/>
      <c r="AT21" s="19"/>
      <c r="AU21" s="17">
        <f t="shared" si="11"/>
        <v>0</v>
      </c>
      <c r="AV21" s="19">
        <v>3</v>
      </c>
      <c r="AW21" s="19"/>
      <c r="AX21" s="19"/>
      <c r="AY21" s="19"/>
      <c r="AZ21" s="19">
        <v>3</v>
      </c>
      <c r="BA21" s="17">
        <f t="shared" si="29"/>
        <v>5175000</v>
      </c>
      <c r="BB21" s="19">
        <v>3</v>
      </c>
      <c r="BC21" s="19"/>
      <c r="BD21" s="19"/>
      <c r="BE21" s="19"/>
      <c r="BF21" s="19">
        <v>3</v>
      </c>
      <c r="BG21" s="17">
        <f t="shared" si="13"/>
        <v>5175000</v>
      </c>
      <c r="BH21" s="19"/>
      <c r="BI21" s="19"/>
      <c r="BJ21" s="19"/>
      <c r="BK21" s="19"/>
      <c r="BL21" s="17">
        <f t="shared" si="28"/>
        <v>0</v>
      </c>
      <c r="BM21" s="19">
        <v>1</v>
      </c>
      <c r="BN21" s="19">
        <v>1</v>
      </c>
      <c r="BO21" s="19"/>
      <c r="BP21" s="19">
        <v>5</v>
      </c>
      <c r="BQ21" s="17">
        <f>(BM21*600000*BP21)+(BN21*4125000/2)+(BO21*7000000)</f>
        <v>5062500</v>
      </c>
      <c r="BR21" s="19">
        <v>9</v>
      </c>
      <c r="BS21" s="19">
        <v>4</v>
      </c>
      <c r="BT21" s="19">
        <v>7</v>
      </c>
      <c r="BU21" s="19">
        <v>1</v>
      </c>
      <c r="BV21" s="19">
        <v>9</v>
      </c>
      <c r="BW21" s="19">
        <v>2</v>
      </c>
      <c r="BX21" s="17">
        <f>(BR21*BW21*300000)+(BS21*BW21*100000)+(BT21*BW21*100000)+(BU21*BW21*300000)+(BV21*2750000/2)</f>
        <v>20575000</v>
      </c>
      <c r="BY21" s="19"/>
      <c r="BZ21" s="19"/>
      <c r="CA21" s="19"/>
      <c r="CB21" s="19"/>
      <c r="CC21" s="19"/>
      <c r="CD21" s="19"/>
      <c r="CE21" s="17">
        <f t="shared" si="15"/>
        <v>0</v>
      </c>
      <c r="CF21" s="19"/>
      <c r="CG21" s="19"/>
      <c r="CH21" s="19"/>
      <c r="CI21" s="19"/>
      <c r="CJ21" s="19"/>
      <c r="CK21" s="19"/>
      <c r="CL21" s="17">
        <f t="shared" si="21"/>
        <v>0</v>
      </c>
      <c r="CM21" s="19"/>
      <c r="CN21" s="19"/>
      <c r="CO21" s="19"/>
      <c r="CP21" s="19"/>
      <c r="CQ21" s="19"/>
      <c r="CR21" s="19"/>
      <c r="CS21" s="17">
        <f t="shared" si="16"/>
        <v>0</v>
      </c>
      <c r="CT21" s="17"/>
      <c r="CU21" s="17"/>
      <c r="CV21" s="17"/>
      <c r="CW21" s="17"/>
      <c r="CX21" s="17"/>
      <c r="CY21" s="17"/>
      <c r="CZ21" s="17">
        <f t="shared" si="17"/>
        <v>0</v>
      </c>
      <c r="DA21" s="19"/>
      <c r="DB21" s="19"/>
      <c r="DC21" s="19"/>
      <c r="DD21" s="19"/>
      <c r="DE21" s="19"/>
      <c r="DF21" s="19"/>
      <c r="DG21" s="17">
        <f t="shared" si="18"/>
        <v>0</v>
      </c>
      <c r="DH21" s="16"/>
      <c r="DI21" s="16"/>
      <c r="DK21" s="26">
        <v>3000000</v>
      </c>
      <c r="DL21" s="29">
        <v>171</v>
      </c>
      <c r="DM21" s="26">
        <f t="shared" si="22"/>
        <v>13680000</v>
      </c>
      <c r="DN21" s="28">
        <v>75</v>
      </c>
      <c r="DO21" s="26">
        <f t="shared" si="31"/>
        <v>30000000</v>
      </c>
      <c r="DP21" s="28">
        <v>171</v>
      </c>
      <c r="DQ21" s="26">
        <f>DP21*80000</f>
        <v>13680000</v>
      </c>
      <c r="DR21" s="28">
        <v>7</v>
      </c>
      <c r="DS21" s="26">
        <f>DR21*1000000</f>
        <v>7000000</v>
      </c>
      <c r="DT21" s="27">
        <v>79</v>
      </c>
      <c r="DU21" s="26">
        <f>DT21*400000</f>
        <v>31600000</v>
      </c>
      <c r="DV21" s="27">
        <v>79</v>
      </c>
      <c r="DW21" s="26">
        <f>DV21*300000</f>
        <v>23700000</v>
      </c>
      <c r="DX21" s="27">
        <v>79</v>
      </c>
      <c r="DY21" s="26">
        <f t="shared" si="25"/>
        <v>252800000</v>
      </c>
      <c r="DZ21" s="27">
        <f>DX21/4</f>
        <v>19.75</v>
      </c>
      <c r="EA21" s="26">
        <f t="shared" si="26"/>
        <v>5925000</v>
      </c>
      <c r="EB21" s="25">
        <f>DK21+DM21+DO21+DQ21+DS21+DU21+DW21+DY21+EA21</f>
        <v>381385000</v>
      </c>
      <c r="EC21" s="30"/>
      <c r="ED21" s="30"/>
      <c r="EE21" s="30"/>
      <c r="EF21" s="30"/>
      <c r="EG21" s="30"/>
    </row>
    <row r="22" spans="1:137" s="11" customFormat="1" ht="23.25" customHeight="1">
      <c r="A22" s="74">
        <v>15</v>
      </c>
      <c r="B22" s="78" t="s">
        <v>15</v>
      </c>
      <c r="C22" s="79">
        <f t="shared" si="0"/>
        <v>27055000</v>
      </c>
      <c r="D22" s="77">
        <v>15180000</v>
      </c>
      <c r="E22" s="77">
        <v>11875000</v>
      </c>
      <c r="F22" s="77">
        <f t="shared" si="20"/>
        <v>0</v>
      </c>
      <c r="G22" s="56"/>
      <c r="I22" s="13"/>
      <c r="J22" s="13"/>
      <c r="K22" s="17">
        <f t="shared" si="1"/>
        <v>0</v>
      </c>
      <c r="L22" s="17"/>
      <c r="M22" s="17"/>
      <c r="N22" s="17">
        <f t="shared" si="2"/>
        <v>0</v>
      </c>
      <c r="O22" s="17"/>
      <c r="P22" s="17"/>
      <c r="Q22" s="17">
        <f t="shared" si="3"/>
        <v>0</v>
      </c>
      <c r="R22" s="13"/>
      <c r="S22" s="13"/>
      <c r="T22" s="17">
        <f t="shared" si="4"/>
        <v>0</v>
      </c>
      <c r="U22" s="17"/>
      <c r="V22" s="17"/>
      <c r="W22" s="17">
        <f t="shared" si="5"/>
        <v>0</v>
      </c>
      <c r="X22" s="19"/>
      <c r="Y22" s="19"/>
      <c r="Z22" s="17">
        <f t="shared" si="30"/>
        <v>0</v>
      </c>
      <c r="AA22" s="19"/>
      <c r="AB22" s="19"/>
      <c r="AC22" s="17">
        <f t="shared" si="7"/>
        <v>0</v>
      </c>
      <c r="AD22" s="19"/>
      <c r="AE22" s="19"/>
      <c r="AF22" s="17">
        <f t="shared" si="8"/>
        <v>0</v>
      </c>
      <c r="AG22" s="19">
        <v>1</v>
      </c>
      <c r="AH22" s="19">
        <v>5</v>
      </c>
      <c r="AI22" s="17">
        <f t="shared" si="9"/>
        <v>1725000</v>
      </c>
      <c r="AJ22" s="13"/>
      <c r="AK22" s="13"/>
      <c r="AL22" s="13"/>
      <c r="AM22" s="13"/>
      <c r="AN22" s="13"/>
      <c r="AO22" s="17">
        <f t="shared" si="10"/>
        <v>0</v>
      </c>
      <c r="AP22" s="19"/>
      <c r="AQ22" s="19"/>
      <c r="AR22" s="19"/>
      <c r="AS22" s="19"/>
      <c r="AT22" s="19"/>
      <c r="AU22" s="17">
        <f t="shared" si="11"/>
        <v>0</v>
      </c>
      <c r="AV22" s="19">
        <v>3</v>
      </c>
      <c r="AW22" s="19">
        <v>1</v>
      </c>
      <c r="AX22" s="19"/>
      <c r="AY22" s="19"/>
      <c r="AZ22" s="19">
        <v>3</v>
      </c>
      <c r="BA22" s="17">
        <f t="shared" si="29"/>
        <v>5865000</v>
      </c>
      <c r="BB22" s="19">
        <v>4</v>
      </c>
      <c r="BC22" s="19">
        <v>1</v>
      </c>
      <c r="BD22" s="19">
        <v>2</v>
      </c>
      <c r="BE22" s="19"/>
      <c r="BF22" s="19">
        <v>3</v>
      </c>
      <c r="BG22" s="17">
        <f t="shared" si="13"/>
        <v>8970000</v>
      </c>
      <c r="BH22" s="13"/>
      <c r="BI22" s="13"/>
      <c r="BJ22" s="13"/>
      <c r="BK22" s="13"/>
      <c r="BL22" s="17">
        <f t="shared" si="28"/>
        <v>0</v>
      </c>
      <c r="BM22" s="19"/>
      <c r="BN22" s="19"/>
      <c r="BO22" s="19"/>
      <c r="BP22" s="19"/>
      <c r="BQ22" s="17">
        <f>(BM22*600000*BP22)+(BN22*3637500/2)+(BO22*7000000)</f>
        <v>0</v>
      </c>
      <c r="BR22" s="19">
        <v>6</v>
      </c>
      <c r="BS22" s="19">
        <v>2</v>
      </c>
      <c r="BT22" s="19">
        <v>5</v>
      </c>
      <c r="BU22" s="19">
        <v>1</v>
      </c>
      <c r="BV22" s="19">
        <v>6</v>
      </c>
      <c r="BW22" s="19">
        <v>2</v>
      </c>
      <c r="BX22" s="17">
        <f>(BR22*BW22*300000)+(BS22*BW22*100000)+(BT22*BW22*100000)+(BU22*BW22*300000)+(BV22*2750000/2)</f>
        <v>13850000</v>
      </c>
      <c r="BY22" s="13"/>
      <c r="BZ22" s="13"/>
      <c r="CA22" s="13"/>
      <c r="CB22" s="13"/>
      <c r="CC22" s="13"/>
      <c r="CD22" s="13"/>
      <c r="CE22" s="17">
        <f t="shared" si="15"/>
        <v>0</v>
      </c>
      <c r="CF22" s="13"/>
      <c r="CG22" s="13"/>
      <c r="CH22" s="13"/>
      <c r="CI22" s="13"/>
      <c r="CJ22" s="13"/>
      <c r="CK22" s="13"/>
      <c r="CL22" s="17">
        <f t="shared" si="21"/>
        <v>0</v>
      </c>
      <c r="CM22" s="13"/>
      <c r="CN22" s="13"/>
      <c r="CO22" s="13"/>
      <c r="CP22" s="13"/>
      <c r="CQ22" s="13"/>
      <c r="CR22" s="13"/>
      <c r="CS22" s="17">
        <f t="shared" si="16"/>
        <v>0</v>
      </c>
      <c r="CT22" s="17"/>
      <c r="CU22" s="17"/>
      <c r="CV22" s="17"/>
      <c r="CW22" s="17"/>
      <c r="CX22" s="17"/>
      <c r="CY22" s="17"/>
      <c r="CZ22" s="17">
        <f t="shared" si="17"/>
        <v>0</v>
      </c>
      <c r="DA22" s="13"/>
      <c r="DB22" s="13"/>
      <c r="DC22" s="13"/>
      <c r="DD22" s="13"/>
      <c r="DE22" s="13"/>
      <c r="DF22" s="13"/>
      <c r="DG22" s="17">
        <f t="shared" si="18"/>
        <v>0</v>
      </c>
      <c r="DH22" s="16"/>
      <c r="DI22" s="16"/>
      <c r="DK22" s="26">
        <v>3000000</v>
      </c>
      <c r="DL22" s="29">
        <v>171</v>
      </c>
      <c r="DM22" s="26">
        <f t="shared" si="22"/>
        <v>13680000</v>
      </c>
      <c r="DN22" s="28">
        <v>75</v>
      </c>
      <c r="DO22" s="26">
        <f t="shared" si="31"/>
        <v>30000000</v>
      </c>
      <c r="DP22" s="28">
        <v>171</v>
      </c>
      <c r="DQ22" s="26">
        <f>DP22*80000</f>
        <v>13680000</v>
      </c>
      <c r="DR22" s="28">
        <v>7</v>
      </c>
      <c r="DS22" s="26">
        <f>DR22*1000000</f>
        <v>7000000</v>
      </c>
      <c r="DT22" s="27"/>
      <c r="DU22" s="26">
        <f>DT22*500000</f>
        <v>0</v>
      </c>
      <c r="DV22" s="27"/>
      <c r="DW22" s="26" t="e">
        <f>#REF!*300000</f>
        <v>#REF!</v>
      </c>
      <c r="DX22" s="27"/>
      <c r="DY22" s="26">
        <f t="shared" si="25"/>
        <v>0</v>
      </c>
      <c r="DZ22" s="27"/>
      <c r="EA22" s="26">
        <f t="shared" si="26"/>
        <v>0</v>
      </c>
      <c r="EB22" s="25">
        <f>DK22+DM22+DO22+DQ22+DS22</f>
        <v>67360000</v>
      </c>
      <c r="EC22" s="30"/>
      <c r="ED22" s="30"/>
      <c r="EE22" s="30"/>
      <c r="EF22" s="30"/>
      <c r="EG22" s="30"/>
    </row>
    <row r="23" spans="1:132" s="11" customFormat="1" ht="23.25" customHeight="1">
      <c r="A23" s="74">
        <v>16</v>
      </c>
      <c r="B23" s="78" t="s">
        <v>17</v>
      </c>
      <c r="C23" s="79">
        <f t="shared" si="0"/>
        <v>24017500</v>
      </c>
      <c r="D23" s="77">
        <v>12305000</v>
      </c>
      <c r="E23" s="77">
        <v>9912500</v>
      </c>
      <c r="F23" s="77">
        <v>1800000</v>
      </c>
      <c r="G23" s="55"/>
      <c r="I23" s="13"/>
      <c r="J23" s="13"/>
      <c r="K23" s="17">
        <f t="shared" si="1"/>
        <v>0</v>
      </c>
      <c r="L23" s="17"/>
      <c r="M23" s="17"/>
      <c r="N23" s="17">
        <f t="shared" si="2"/>
        <v>0</v>
      </c>
      <c r="O23" s="20">
        <v>2</v>
      </c>
      <c r="P23" s="20">
        <v>5</v>
      </c>
      <c r="Q23" s="17">
        <f t="shared" si="3"/>
        <v>5750000</v>
      </c>
      <c r="R23" s="19"/>
      <c r="S23" s="19"/>
      <c r="T23" s="17">
        <f t="shared" si="4"/>
        <v>0</v>
      </c>
      <c r="U23" s="17"/>
      <c r="V23" s="17"/>
      <c r="W23" s="17">
        <f t="shared" si="5"/>
        <v>0</v>
      </c>
      <c r="X23" s="19"/>
      <c r="Y23" s="19"/>
      <c r="Z23" s="17">
        <f t="shared" si="30"/>
        <v>0</v>
      </c>
      <c r="AA23" s="19"/>
      <c r="AB23" s="19"/>
      <c r="AC23" s="17">
        <f t="shared" si="7"/>
        <v>0</v>
      </c>
      <c r="AD23" s="19"/>
      <c r="AE23" s="19"/>
      <c r="AF23" s="17">
        <f t="shared" si="8"/>
        <v>0</v>
      </c>
      <c r="AG23" s="19">
        <v>1</v>
      </c>
      <c r="AH23" s="19">
        <v>5</v>
      </c>
      <c r="AI23" s="17">
        <f t="shared" si="9"/>
        <v>1725000</v>
      </c>
      <c r="AJ23" s="13"/>
      <c r="AK23" s="13"/>
      <c r="AL23" s="13"/>
      <c r="AM23" s="13"/>
      <c r="AN23" s="13"/>
      <c r="AO23" s="17">
        <f t="shared" si="10"/>
        <v>0</v>
      </c>
      <c r="AP23" s="19"/>
      <c r="AQ23" s="19"/>
      <c r="AR23" s="19"/>
      <c r="AS23" s="19"/>
      <c r="AT23" s="19"/>
      <c r="AU23" s="17">
        <f t="shared" si="11"/>
        <v>0</v>
      </c>
      <c r="AV23" s="19"/>
      <c r="AW23" s="19"/>
      <c r="AX23" s="19"/>
      <c r="AY23" s="19"/>
      <c r="AZ23" s="19"/>
      <c r="BA23" s="17">
        <f t="shared" si="29"/>
        <v>0</v>
      </c>
      <c r="BB23" s="19">
        <v>3</v>
      </c>
      <c r="BC23" s="19">
        <v>1</v>
      </c>
      <c r="BD23" s="19"/>
      <c r="BE23" s="19"/>
      <c r="BF23" s="19">
        <v>3</v>
      </c>
      <c r="BG23" s="17">
        <f t="shared" si="13"/>
        <v>5865000</v>
      </c>
      <c r="BH23" s="13"/>
      <c r="BI23" s="13"/>
      <c r="BJ23" s="13"/>
      <c r="BK23" s="13"/>
      <c r="BL23" s="17">
        <f t="shared" si="28"/>
        <v>0</v>
      </c>
      <c r="BM23" s="19"/>
      <c r="BN23" s="19"/>
      <c r="BO23" s="19"/>
      <c r="BP23" s="19"/>
      <c r="BQ23" s="17">
        <f>(BM23*600000*BP23)+(BN23*3637500/2)+(BO23*7000000)</f>
        <v>0</v>
      </c>
      <c r="BR23" s="19">
        <v>1</v>
      </c>
      <c r="BS23" s="19"/>
      <c r="BT23" s="19"/>
      <c r="BU23" s="19"/>
      <c r="BV23" s="19">
        <v>1</v>
      </c>
      <c r="BW23" s="19">
        <v>2</v>
      </c>
      <c r="BX23" s="17">
        <f>(BR23*BW23*300000)+(BS23*BW23*100000)+(BT23*BW23*100000)+(BU23*BW23*300000)+(BV23*2750000/2)+1612500+2112500</f>
        <v>5700000</v>
      </c>
      <c r="BY23" s="13"/>
      <c r="BZ23" s="13"/>
      <c r="CA23" s="13"/>
      <c r="CB23" s="13"/>
      <c r="CC23" s="13"/>
      <c r="CD23" s="13"/>
      <c r="CE23" s="17">
        <f t="shared" si="15"/>
        <v>0</v>
      </c>
      <c r="CF23" s="13"/>
      <c r="CG23" s="13"/>
      <c r="CH23" s="13"/>
      <c r="CI23" s="13"/>
      <c r="CJ23" s="13"/>
      <c r="CK23" s="13"/>
      <c r="CL23" s="17">
        <f t="shared" si="21"/>
        <v>0</v>
      </c>
      <c r="CM23" s="13"/>
      <c r="CN23" s="13"/>
      <c r="CO23" s="13"/>
      <c r="CP23" s="13"/>
      <c r="CQ23" s="13"/>
      <c r="CR23" s="13"/>
      <c r="CS23" s="17">
        <f t="shared" si="16"/>
        <v>0</v>
      </c>
      <c r="CT23" s="17"/>
      <c r="CU23" s="17"/>
      <c r="CV23" s="17"/>
      <c r="CW23" s="17"/>
      <c r="CX23" s="17"/>
      <c r="CY23" s="17"/>
      <c r="CZ23" s="17">
        <f t="shared" si="17"/>
        <v>0</v>
      </c>
      <c r="DA23" s="13"/>
      <c r="DB23" s="13"/>
      <c r="DC23" s="13"/>
      <c r="DD23" s="13"/>
      <c r="DE23" s="13"/>
      <c r="DF23" s="13"/>
      <c r="DG23" s="17">
        <f t="shared" si="18"/>
        <v>0</v>
      </c>
      <c r="DH23" s="16"/>
      <c r="DI23" s="16"/>
      <c r="DK23" s="26">
        <v>3000000</v>
      </c>
      <c r="DL23" s="29">
        <v>171</v>
      </c>
      <c r="DM23" s="26">
        <f t="shared" si="22"/>
        <v>13680000</v>
      </c>
      <c r="DN23" s="28">
        <v>75</v>
      </c>
      <c r="DO23" s="26">
        <f t="shared" si="31"/>
        <v>30000000</v>
      </c>
      <c r="DP23" s="28">
        <v>171</v>
      </c>
      <c r="DQ23" s="26">
        <f>DP23*80000</f>
        <v>13680000</v>
      </c>
      <c r="DR23" s="28">
        <v>7</v>
      </c>
      <c r="DS23" s="26">
        <f>DR23*1000000</f>
        <v>7000000</v>
      </c>
      <c r="DT23" s="27"/>
      <c r="DU23" s="26">
        <f>DT23*500000</f>
        <v>0</v>
      </c>
      <c r="DV23" s="27"/>
      <c r="DW23" s="26">
        <f>DV34*300000</f>
        <v>0</v>
      </c>
      <c r="DX23" s="27"/>
      <c r="DY23" s="26">
        <f t="shared" si="25"/>
        <v>0</v>
      </c>
      <c r="DZ23" s="27"/>
      <c r="EA23" s="26">
        <f t="shared" si="26"/>
        <v>0</v>
      </c>
      <c r="EB23" s="25">
        <f>DK23+DM23+DO23+DQ23+DS23</f>
        <v>67360000</v>
      </c>
    </row>
    <row r="24" spans="1:132" s="11" customFormat="1" ht="23.25" customHeight="1">
      <c r="A24" s="74">
        <v>17</v>
      </c>
      <c r="B24" s="78" t="s">
        <v>129</v>
      </c>
      <c r="C24" s="79">
        <f t="shared" si="0"/>
        <v>32385000</v>
      </c>
      <c r="D24" s="77">
        <v>16560000</v>
      </c>
      <c r="E24" s="77">
        <v>15825000</v>
      </c>
      <c r="F24" s="77">
        <f t="shared" si="20"/>
        <v>0</v>
      </c>
      <c r="G24" s="55"/>
      <c r="I24" s="13"/>
      <c r="J24" s="13"/>
      <c r="K24" s="17">
        <f t="shared" si="1"/>
        <v>0</v>
      </c>
      <c r="L24" s="17"/>
      <c r="M24" s="17"/>
      <c r="N24" s="17">
        <f t="shared" si="2"/>
        <v>0</v>
      </c>
      <c r="O24" s="17"/>
      <c r="P24" s="17"/>
      <c r="Q24" s="17">
        <f t="shared" si="3"/>
        <v>0</v>
      </c>
      <c r="R24" s="19"/>
      <c r="S24" s="19"/>
      <c r="T24" s="17">
        <f t="shared" si="4"/>
        <v>0</v>
      </c>
      <c r="U24" s="17"/>
      <c r="V24" s="17"/>
      <c r="W24" s="17">
        <f t="shared" si="5"/>
        <v>0</v>
      </c>
      <c r="X24" s="19"/>
      <c r="Y24" s="19"/>
      <c r="Z24" s="17">
        <f t="shared" si="30"/>
        <v>0</v>
      </c>
      <c r="AA24" s="19"/>
      <c r="AB24" s="19"/>
      <c r="AC24" s="17">
        <f t="shared" si="7"/>
        <v>0</v>
      </c>
      <c r="AD24" s="19">
        <v>1</v>
      </c>
      <c r="AE24" s="19">
        <v>5</v>
      </c>
      <c r="AF24" s="17">
        <f t="shared" si="8"/>
        <v>1725000</v>
      </c>
      <c r="AG24" s="19">
        <v>1</v>
      </c>
      <c r="AH24" s="19">
        <v>5</v>
      </c>
      <c r="AI24" s="17">
        <f t="shared" si="9"/>
        <v>1725000</v>
      </c>
      <c r="AJ24" s="13"/>
      <c r="AK24" s="13"/>
      <c r="AL24" s="13"/>
      <c r="AM24" s="13"/>
      <c r="AN24" s="13"/>
      <c r="AO24" s="17">
        <f t="shared" si="10"/>
        <v>0</v>
      </c>
      <c r="AP24" s="19"/>
      <c r="AQ24" s="19"/>
      <c r="AR24" s="19"/>
      <c r="AS24" s="19"/>
      <c r="AT24" s="19"/>
      <c r="AU24" s="17">
        <f t="shared" si="11"/>
        <v>0</v>
      </c>
      <c r="AV24" s="19">
        <v>3</v>
      </c>
      <c r="AW24" s="19"/>
      <c r="AX24" s="19"/>
      <c r="AY24" s="19"/>
      <c r="AZ24" s="19">
        <v>3</v>
      </c>
      <c r="BA24" s="17">
        <f t="shared" si="29"/>
        <v>5175000</v>
      </c>
      <c r="BB24" s="19">
        <v>2</v>
      </c>
      <c r="BC24" s="19">
        <v>1</v>
      </c>
      <c r="BD24" s="19">
        <v>1</v>
      </c>
      <c r="BE24" s="19"/>
      <c r="BF24" s="19">
        <v>3</v>
      </c>
      <c r="BG24" s="17">
        <f t="shared" si="13"/>
        <v>4830000</v>
      </c>
      <c r="BH24" s="13"/>
      <c r="BI24" s="13"/>
      <c r="BJ24" s="13"/>
      <c r="BK24" s="13"/>
      <c r="BL24" s="17">
        <f t="shared" si="28"/>
        <v>0</v>
      </c>
      <c r="BM24" s="19"/>
      <c r="BN24" s="19"/>
      <c r="BO24" s="19"/>
      <c r="BP24" s="19"/>
      <c r="BQ24" s="17">
        <f>(BM24*600000*BP24)+(BN24*3637500/2)+(BO24*7000000)</f>
        <v>0</v>
      </c>
      <c r="BR24" s="19">
        <v>6</v>
      </c>
      <c r="BS24" s="19">
        <v>3</v>
      </c>
      <c r="BT24" s="19">
        <v>3</v>
      </c>
      <c r="BU24" s="19">
        <v>1</v>
      </c>
      <c r="BV24" s="19">
        <v>6</v>
      </c>
      <c r="BW24" s="19">
        <v>2</v>
      </c>
      <c r="BX24" s="17">
        <f>(BR24*BW24*300000)+(BS24*BW24*100000)+(BT24*BW24*100000)+(BU24*BW24*300000)+(BV24*2750000/2)</f>
        <v>13650000</v>
      </c>
      <c r="BY24" s="13"/>
      <c r="BZ24" s="13"/>
      <c r="CA24" s="13"/>
      <c r="CB24" s="13"/>
      <c r="CC24" s="13"/>
      <c r="CD24" s="13"/>
      <c r="CE24" s="17">
        <f t="shared" si="15"/>
        <v>0</v>
      </c>
      <c r="CF24" s="13"/>
      <c r="CG24" s="13"/>
      <c r="CH24" s="13"/>
      <c r="CI24" s="13"/>
      <c r="CJ24" s="13"/>
      <c r="CK24" s="13"/>
      <c r="CL24" s="17">
        <f t="shared" si="21"/>
        <v>0</v>
      </c>
      <c r="CM24" s="13"/>
      <c r="CN24" s="13"/>
      <c r="CO24" s="13"/>
      <c r="CP24" s="13"/>
      <c r="CQ24" s="13"/>
      <c r="CR24" s="13"/>
      <c r="CS24" s="17">
        <f t="shared" si="16"/>
        <v>0</v>
      </c>
      <c r="CT24" s="17"/>
      <c r="CU24" s="17"/>
      <c r="CV24" s="17"/>
      <c r="CW24" s="17"/>
      <c r="CX24" s="17"/>
      <c r="CY24" s="17"/>
      <c r="CZ24" s="17">
        <f t="shared" si="17"/>
        <v>0</v>
      </c>
      <c r="DA24" s="13"/>
      <c r="DB24" s="13"/>
      <c r="DC24" s="13"/>
      <c r="DD24" s="13"/>
      <c r="DE24" s="13"/>
      <c r="DF24" s="13"/>
      <c r="DG24" s="17">
        <f t="shared" si="18"/>
        <v>0</v>
      </c>
      <c r="DH24" s="16"/>
      <c r="DI24" s="16"/>
      <c r="DK24" s="26">
        <v>3000000</v>
      </c>
      <c r="DL24" s="29">
        <v>171</v>
      </c>
      <c r="DM24" s="26">
        <f t="shared" si="22"/>
        <v>13680000</v>
      </c>
      <c r="DN24" s="28">
        <v>75</v>
      </c>
      <c r="DO24" s="26">
        <f t="shared" si="31"/>
        <v>30000000</v>
      </c>
      <c r="DP24" s="28">
        <v>171</v>
      </c>
      <c r="DQ24" s="26">
        <f>DP24*80000</f>
        <v>13680000</v>
      </c>
      <c r="DR24" s="28">
        <v>7</v>
      </c>
      <c r="DS24" s="26">
        <f>DR24*1000000</f>
        <v>7000000</v>
      </c>
      <c r="DT24" s="27"/>
      <c r="DU24" s="26">
        <f>DT24*500000</f>
        <v>0</v>
      </c>
      <c r="DV24" s="27"/>
      <c r="DW24" s="26">
        <f>DV37*300000</f>
        <v>0</v>
      </c>
      <c r="DX24" s="27"/>
      <c r="DY24" s="26">
        <f t="shared" si="25"/>
        <v>0</v>
      </c>
      <c r="DZ24" s="27"/>
      <c r="EA24" s="26">
        <f t="shared" si="26"/>
        <v>0</v>
      </c>
      <c r="EB24" s="25">
        <f>DK24+DM24+DO24+DQ24+DS24</f>
        <v>67360000</v>
      </c>
    </row>
    <row r="25" spans="1:132" s="11" customFormat="1" ht="23.25" customHeight="1">
      <c r="A25" s="80">
        <v>18</v>
      </c>
      <c r="B25" s="81" t="s">
        <v>16</v>
      </c>
      <c r="C25" s="82">
        <f t="shared" si="0"/>
        <v>17595000</v>
      </c>
      <c r="D25" s="83">
        <v>17595000</v>
      </c>
      <c r="E25" s="83">
        <v>0</v>
      </c>
      <c r="F25" s="83">
        <f t="shared" si="20"/>
        <v>0</v>
      </c>
      <c r="G25" s="55"/>
      <c r="I25" s="13"/>
      <c r="J25" s="13"/>
      <c r="K25" s="17">
        <f t="shared" si="1"/>
        <v>0</v>
      </c>
      <c r="L25" s="17"/>
      <c r="M25" s="17"/>
      <c r="N25" s="17">
        <f t="shared" si="2"/>
        <v>0</v>
      </c>
      <c r="O25" s="17"/>
      <c r="P25" s="17"/>
      <c r="Q25" s="17">
        <f t="shared" si="3"/>
        <v>0</v>
      </c>
      <c r="R25" s="19"/>
      <c r="S25" s="19"/>
      <c r="T25" s="17">
        <f t="shared" si="4"/>
        <v>0</v>
      </c>
      <c r="U25" s="17"/>
      <c r="V25" s="17"/>
      <c r="W25" s="17">
        <f t="shared" si="5"/>
        <v>0</v>
      </c>
      <c r="X25" s="19"/>
      <c r="Y25" s="19"/>
      <c r="Z25" s="17">
        <f t="shared" si="30"/>
        <v>0</v>
      </c>
      <c r="AA25" s="19"/>
      <c r="AB25" s="19"/>
      <c r="AC25" s="17">
        <f t="shared" si="7"/>
        <v>0</v>
      </c>
      <c r="AD25" s="19"/>
      <c r="AE25" s="19"/>
      <c r="AF25" s="17">
        <f t="shared" si="8"/>
        <v>0</v>
      </c>
      <c r="AG25" s="19">
        <v>1</v>
      </c>
      <c r="AH25" s="19">
        <v>5</v>
      </c>
      <c r="AI25" s="17">
        <f t="shared" si="9"/>
        <v>1725000</v>
      </c>
      <c r="AJ25" s="13"/>
      <c r="AK25" s="13"/>
      <c r="AL25" s="13"/>
      <c r="AM25" s="13"/>
      <c r="AN25" s="13"/>
      <c r="AO25" s="17">
        <f t="shared" si="10"/>
        <v>0</v>
      </c>
      <c r="AP25" s="19"/>
      <c r="AQ25" s="19"/>
      <c r="AR25" s="19"/>
      <c r="AS25" s="19"/>
      <c r="AT25" s="19"/>
      <c r="AU25" s="17">
        <f t="shared" si="11"/>
        <v>0</v>
      </c>
      <c r="AV25" s="19">
        <v>4</v>
      </c>
      <c r="AW25" s="19"/>
      <c r="AX25" s="19">
        <v>2</v>
      </c>
      <c r="AY25" s="19"/>
      <c r="AZ25" s="19">
        <v>3</v>
      </c>
      <c r="BA25" s="17">
        <f t="shared" si="29"/>
        <v>8280000</v>
      </c>
      <c r="BB25" s="19">
        <v>3</v>
      </c>
      <c r="BC25" s="19"/>
      <c r="BD25" s="19">
        <v>2</v>
      </c>
      <c r="BE25" s="19"/>
      <c r="BF25" s="19">
        <v>3</v>
      </c>
      <c r="BG25" s="17">
        <f t="shared" si="13"/>
        <v>6555000</v>
      </c>
      <c r="BH25" s="13"/>
      <c r="BI25" s="13"/>
      <c r="BJ25" s="13"/>
      <c r="BK25" s="13"/>
      <c r="BL25" s="17">
        <f t="shared" si="28"/>
        <v>0</v>
      </c>
      <c r="BM25" s="19">
        <v>1</v>
      </c>
      <c r="BN25" s="19">
        <v>1</v>
      </c>
      <c r="BO25" s="19"/>
      <c r="BP25" s="19">
        <v>5</v>
      </c>
      <c r="BQ25" s="17">
        <f>(BM25*600000*BP25)+(BN25*4125000/2)+(BO25*7000000)</f>
        <v>5062500</v>
      </c>
      <c r="BR25" s="13"/>
      <c r="BS25" s="13"/>
      <c r="BT25" s="13"/>
      <c r="BU25" s="13"/>
      <c r="BV25" s="13"/>
      <c r="BW25" s="13"/>
      <c r="BX25" s="17">
        <f>(BR25*BW25*300000)+(BS25*BW25*100000)+(BT25*BW25*100000)+(BU25*BW25*300000)+(BV25*2425000/2)</f>
        <v>0</v>
      </c>
      <c r="BY25" s="13"/>
      <c r="BZ25" s="13"/>
      <c r="CA25" s="13"/>
      <c r="CB25" s="13"/>
      <c r="CC25" s="13"/>
      <c r="CD25" s="13"/>
      <c r="CE25" s="17">
        <f t="shared" si="15"/>
        <v>0</v>
      </c>
      <c r="CF25" s="13"/>
      <c r="CG25" s="13"/>
      <c r="CH25" s="13"/>
      <c r="CI25" s="13"/>
      <c r="CJ25" s="13"/>
      <c r="CK25" s="13"/>
      <c r="CL25" s="17">
        <f t="shared" si="21"/>
        <v>0</v>
      </c>
      <c r="CM25" s="13"/>
      <c r="CN25" s="13"/>
      <c r="CO25" s="13"/>
      <c r="CP25" s="13"/>
      <c r="CQ25" s="13"/>
      <c r="CR25" s="13"/>
      <c r="CS25" s="17">
        <f t="shared" si="16"/>
        <v>0</v>
      </c>
      <c r="CT25" s="17"/>
      <c r="CU25" s="17"/>
      <c r="CV25" s="17"/>
      <c r="CW25" s="17"/>
      <c r="CX25" s="17"/>
      <c r="CY25" s="17"/>
      <c r="CZ25" s="17">
        <f t="shared" si="17"/>
        <v>0</v>
      </c>
      <c r="DA25" s="13"/>
      <c r="DB25" s="13"/>
      <c r="DC25" s="13"/>
      <c r="DD25" s="13"/>
      <c r="DE25" s="13"/>
      <c r="DF25" s="13"/>
      <c r="DG25" s="17">
        <f t="shared" si="18"/>
        <v>0</v>
      </c>
      <c r="DH25" s="16"/>
      <c r="DI25" s="16"/>
      <c r="DK25" s="26">
        <v>3000000</v>
      </c>
      <c r="DL25" s="29">
        <v>171</v>
      </c>
      <c r="DM25" s="26">
        <f t="shared" si="22"/>
        <v>13680000</v>
      </c>
      <c r="DN25" s="28">
        <v>75</v>
      </c>
      <c r="DO25" s="26">
        <f t="shared" si="31"/>
        <v>30000000</v>
      </c>
      <c r="DP25" s="28">
        <v>171</v>
      </c>
      <c r="DQ25" s="26">
        <f>DP25*80000</f>
        <v>13680000</v>
      </c>
      <c r="DR25" s="28">
        <v>7</v>
      </c>
      <c r="DS25" s="26">
        <f>DR25*1000000</f>
        <v>7000000</v>
      </c>
      <c r="DT25" s="27"/>
      <c r="DU25" s="26">
        <f>DT25*500000</f>
        <v>0</v>
      </c>
      <c r="DV25" s="27"/>
      <c r="DW25" s="26" t="e">
        <f>#REF!*300000</f>
        <v>#REF!</v>
      </c>
      <c r="DX25" s="27"/>
      <c r="DY25" s="26">
        <f t="shared" si="25"/>
        <v>0</v>
      </c>
      <c r="DZ25" s="27"/>
      <c r="EA25" s="26">
        <f t="shared" si="26"/>
        <v>0</v>
      </c>
      <c r="EB25" s="25">
        <f>DK25+DM25+DO25+DQ25+DS25</f>
        <v>67360000</v>
      </c>
    </row>
    <row r="26" spans="1:113" s="11" customFormat="1" ht="27" customHeight="1">
      <c r="A26" s="64" t="s">
        <v>46</v>
      </c>
      <c r="B26" s="65" t="s">
        <v>45</v>
      </c>
      <c r="C26" s="66">
        <f>C27+C36+C37+C38+C39+C40</f>
        <v>181926500</v>
      </c>
      <c r="D26" s="66">
        <f>D27+D36+D37+D38+D39+D40</f>
        <v>56580000</v>
      </c>
      <c r="E26" s="66">
        <f>E27+E36+E37+E38+E39+E40</f>
        <v>103346500</v>
      </c>
      <c r="F26" s="66">
        <f>F27+F36+F37+F38+F39+F40</f>
        <v>22000000</v>
      </c>
      <c r="G26" s="67"/>
      <c r="I26" s="13"/>
      <c r="J26" s="13"/>
      <c r="K26" s="17"/>
      <c r="L26" s="17"/>
      <c r="M26" s="17"/>
      <c r="N26" s="17"/>
      <c r="O26" s="17"/>
      <c r="P26" s="17"/>
      <c r="Q26" s="17">
        <f t="shared" si="3"/>
        <v>0</v>
      </c>
      <c r="R26" s="13"/>
      <c r="S26" s="13"/>
      <c r="T26" s="17"/>
      <c r="U26" s="17"/>
      <c r="V26" s="17"/>
      <c r="W26" s="17"/>
      <c r="X26" s="19"/>
      <c r="Y26" s="19"/>
      <c r="Z26" s="17"/>
      <c r="AA26" s="13"/>
      <c r="AB26" s="13"/>
      <c r="AC26" s="17"/>
      <c r="AD26" s="13"/>
      <c r="AE26" s="13"/>
      <c r="AF26" s="17"/>
      <c r="AG26" s="13"/>
      <c r="AH26" s="13"/>
      <c r="AI26" s="17">
        <f t="shared" si="9"/>
        <v>0</v>
      </c>
      <c r="AJ26" s="13"/>
      <c r="AK26" s="13"/>
      <c r="AL26" s="13"/>
      <c r="AM26" s="13"/>
      <c r="AN26" s="13"/>
      <c r="AO26" s="17">
        <f t="shared" si="10"/>
        <v>0</v>
      </c>
      <c r="AP26" s="13"/>
      <c r="AQ26" s="13"/>
      <c r="AR26" s="13"/>
      <c r="AS26" s="13"/>
      <c r="AT26" s="13"/>
      <c r="AU26" s="17"/>
      <c r="AV26" s="13"/>
      <c r="AW26" s="13"/>
      <c r="AX26" s="13"/>
      <c r="AY26" s="13"/>
      <c r="AZ26" s="13"/>
      <c r="BA26" s="17"/>
      <c r="BB26" s="13"/>
      <c r="BC26" s="13"/>
      <c r="BD26" s="13"/>
      <c r="BE26" s="13"/>
      <c r="BF26" s="13"/>
      <c r="BG26" s="17">
        <f t="shared" si="13"/>
        <v>0</v>
      </c>
      <c r="BH26" s="13"/>
      <c r="BI26" s="13"/>
      <c r="BJ26" s="13"/>
      <c r="BK26" s="13"/>
      <c r="BL26" s="17"/>
      <c r="BM26" s="19"/>
      <c r="BN26" s="19"/>
      <c r="BO26" s="19"/>
      <c r="BP26" s="19"/>
      <c r="BQ26" s="17">
        <f>(BM26*600000*BP26)+(BN26*4125000/2)+(BO26*7000000)</f>
        <v>0</v>
      </c>
      <c r="BR26" s="13"/>
      <c r="BS26" s="13"/>
      <c r="BT26" s="13"/>
      <c r="BU26" s="13"/>
      <c r="BV26" s="13"/>
      <c r="BW26" s="13"/>
      <c r="BX26" s="17"/>
      <c r="BY26" s="13"/>
      <c r="BZ26" s="13"/>
      <c r="CA26" s="13"/>
      <c r="CB26" s="13"/>
      <c r="CC26" s="13"/>
      <c r="CD26" s="13"/>
      <c r="CE26" s="17"/>
      <c r="CF26" s="13"/>
      <c r="CG26" s="13"/>
      <c r="CH26" s="13"/>
      <c r="CI26" s="13"/>
      <c r="CJ26" s="13"/>
      <c r="CK26" s="13"/>
      <c r="CL26" s="17"/>
      <c r="CM26" s="13"/>
      <c r="CN26" s="13"/>
      <c r="CO26" s="13"/>
      <c r="CP26" s="13"/>
      <c r="CQ26" s="13"/>
      <c r="CR26" s="13"/>
      <c r="CS26" s="17"/>
      <c r="CT26" s="17"/>
      <c r="CU26" s="17"/>
      <c r="CV26" s="17"/>
      <c r="CW26" s="17"/>
      <c r="CX26" s="17"/>
      <c r="CY26" s="17"/>
      <c r="CZ26" s="17"/>
      <c r="DA26" s="13"/>
      <c r="DB26" s="13"/>
      <c r="DC26" s="13"/>
      <c r="DD26" s="13"/>
      <c r="DE26" s="13"/>
      <c r="DF26" s="13"/>
      <c r="DG26" s="17"/>
      <c r="DH26" s="16"/>
      <c r="DI26" s="16"/>
    </row>
    <row r="27" spans="1:11" s="4" customFormat="1" ht="32.25" customHeight="1">
      <c r="A27" s="84">
        <v>1</v>
      </c>
      <c r="B27" s="85" t="s">
        <v>144</v>
      </c>
      <c r="C27" s="86">
        <f>SUM(C28:C35)</f>
        <v>69500000</v>
      </c>
      <c r="D27" s="86">
        <f>SUM(D28:D35)</f>
        <v>32775000</v>
      </c>
      <c r="E27" s="86">
        <f>SUM(E28:E35)</f>
        <v>24725000</v>
      </c>
      <c r="F27" s="86">
        <f>SUM(F28:F35)</f>
        <v>12000000</v>
      </c>
      <c r="G27" s="87"/>
      <c r="H27" s="2"/>
      <c r="I27" s="2"/>
      <c r="J27" s="2">
        <f>SUM(J28:J32)</f>
        <v>5</v>
      </c>
      <c r="K27" s="1"/>
    </row>
    <row r="28" spans="1:113" s="15" customFormat="1" ht="23.25" customHeight="1">
      <c r="A28" s="88"/>
      <c r="B28" s="89" t="s">
        <v>19</v>
      </c>
      <c r="C28" s="79">
        <f>SUM(D28:F28)</f>
        <v>6380000</v>
      </c>
      <c r="D28" s="79">
        <v>1380000</v>
      </c>
      <c r="E28" s="79">
        <v>0</v>
      </c>
      <c r="F28" s="79">
        <v>5000000</v>
      </c>
      <c r="G28" s="158" t="s">
        <v>106</v>
      </c>
      <c r="I28" s="18"/>
      <c r="J28" s="18"/>
      <c r="K28" s="17">
        <f>I28*J28*(0.5*1150000)</f>
        <v>0</v>
      </c>
      <c r="L28" s="17"/>
      <c r="M28" s="17"/>
      <c r="N28" s="17">
        <f>L28*M28*(0.5*1150000)</f>
        <v>0</v>
      </c>
      <c r="O28" s="20"/>
      <c r="P28" s="20"/>
      <c r="Q28" s="17">
        <f>O28*P28*(0.5*1150000)</f>
        <v>0</v>
      </c>
      <c r="R28" s="19"/>
      <c r="S28" s="19"/>
      <c r="T28" s="17">
        <f>R28*S28*100000</f>
        <v>0</v>
      </c>
      <c r="U28" s="17"/>
      <c r="V28" s="17"/>
      <c r="W28" s="17">
        <f>U28*V28*100000</f>
        <v>0</v>
      </c>
      <c r="X28" s="19"/>
      <c r="Y28" s="19"/>
      <c r="Z28" s="17">
        <f>X28*Y28*(0.3*1150000)</f>
        <v>0</v>
      </c>
      <c r="AA28" s="18"/>
      <c r="AB28" s="18"/>
      <c r="AC28" s="17">
        <f>AA28*AB28*(0.3*1150000)</f>
        <v>0</v>
      </c>
      <c r="AD28" s="19"/>
      <c r="AE28" s="19"/>
      <c r="AF28" s="17">
        <f>AD28*AE28*(0.3*1150000)</f>
        <v>0</v>
      </c>
      <c r="AG28" s="19"/>
      <c r="AH28" s="19"/>
      <c r="AI28" s="17">
        <f>AG28*AH28*(0.3*1150000)</f>
        <v>0</v>
      </c>
      <c r="AJ28" s="18"/>
      <c r="AK28" s="18"/>
      <c r="AL28" s="18"/>
      <c r="AM28" s="18"/>
      <c r="AN28" s="18"/>
      <c r="AO28" s="17">
        <f>((AJ28*200000)+(AK28*100000)+(AL28*100000)+(AM28*300000))*AN28</f>
        <v>0</v>
      </c>
      <c r="AP28" s="18"/>
      <c r="AQ28" s="18"/>
      <c r="AR28" s="18"/>
      <c r="AS28" s="18"/>
      <c r="AT28" s="18"/>
      <c r="AU28" s="17">
        <f>((AP28*200000)+(AQ28*100000)+(AR28*100000)+(AS28*300000))*AT28</f>
        <v>0</v>
      </c>
      <c r="AV28" s="18"/>
      <c r="AW28" s="18"/>
      <c r="AX28" s="18"/>
      <c r="AY28" s="18"/>
      <c r="AZ28" s="18"/>
      <c r="BA28" s="17">
        <f>((AV28*0.5*1150000)+(AW28*0.2*1150000)+(AX28*0.2*1150000)+(AY28*0.3*1150000))*AZ28</f>
        <v>0</v>
      </c>
      <c r="BB28" s="18"/>
      <c r="BC28" s="18"/>
      <c r="BD28" s="18"/>
      <c r="BE28" s="18"/>
      <c r="BF28" s="18"/>
      <c r="BG28" s="17">
        <f>((BB28*0.5*1150000)+(BC28*0.2*1150000)+(BD28*0.2*1150000)+(BE28*0.3*1150000))*BF28</f>
        <v>0</v>
      </c>
      <c r="BH28" s="18"/>
      <c r="BI28" s="18"/>
      <c r="BJ28" s="18"/>
      <c r="BK28" s="18"/>
      <c r="BL28" s="17">
        <f>(BH28*800000*BK28)+(BI28*6062500/2)+(BJ28*15000000)</f>
        <v>0</v>
      </c>
      <c r="BM28" s="19">
        <v>3</v>
      </c>
      <c r="BN28" s="19">
        <v>3</v>
      </c>
      <c r="BO28" s="19">
        <v>1</v>
      </c>
      <c r="BP28" s="19">
        <v>5</v>
      </c>
      <c r="BQ28" s="17">
        <f>(BM28*600000*BP28)+(BN28*4125000/2)+(BO28*7000000)</f>
        <v>22187500</v>
      </c>
      <c r="BR28" s="19"/>
      <c r="BS28" s="19"/>
      <c r="BT28" s="19"/>
      <c r="BU28" s="19"/>
      <c r="BV28" s="19"/>
      <c r="BW28" s="19"/>
      <c r="BX28" s="17">
        <f>(BR28*BW28*300000)+(BS28*BW28*100000)+(BT28*BW28*100000)+(BU28*BW28*300000)+(BV28*2425000/2)</f>
        <v>0</v>
      </c>
      <c r="BY28" s="18"/>
      <c r="BZ28" s="18"/>
      <c r="CA28" s="18"/>
      <c r="CB28" s="18"/>
      <c r="CC28" s="18"/>
      <c r="CD28" s="18"/>
      <c r="CE28" s="17">
        <f>(BY28*CD28*300000)+(BZ28*CD28*100000)+(CA28*CD28*100000)+(CB28*CD28*300000)+(CC28*1400000/2)</f>
        <v>0</v>
      </c>
      <c r="CF28" s="19">
        <v>3</v>
      </c>
      <c r="CG28" s="19">
        <v>1</v>
      </c>
      <c r="CH28" s="19"/>
      <c r="CI28" s="19">
        <v>1</v>
      </c>
      <c r="CJ28" s="19">
        <v>3</v>
      </c>
      <c r="CK28" s="19">
        <v>2</v>
      </c>
      <c r="CL28" s="17">
        <f aca="true" t="shared" si="32" ref="CL28:CL54">(CF28*CK28*300000)+(CG28*CK28*100000)+(CH28*CK28*100000)+(CI28*CK28*300000)+(CJ28*2000000/2)</f>
        <v>5600000</v>
      </c>
      <c r="CM28" s="18"/>
      <c r="CN28" s="18"/>
      <c r="CO28" s="18"/>
      <c r="CP28" s="18"/>
      <c r="CQ28" s="18"/>
      <c r="CR28" s="18"/>
      <c r="CS28" s="17">
        <f>(CM28*CR28*300000)+(CN28*CR28*100000)+(CO28*CR28*100000)+(CP28*CR28*300000)+(CQ28*2200000/2)</f>
        <v>0</v>
      </c>
      <c r="CT28" s="17"/>
      <c r="CU28" s="17"/>
      <c r="CV28" s="17"/>
      <c r="CW28" s="17"/>
      <c r="CX28" s="17"/>
      <c r="CY28" s="17"/>
      <c r="CZ28" s="17">
        <f>(CT28*CY28*200000)+(CU28*CY28*100000)+(CV28*CY28*100000)+(CW28*CY28*300000)+(CX28*2500000/2)</f>
        <v>0</v>
      </c>
      <c r="DA28" s="18"/>
      <c r="DB28" s="18"/>
      <c r="DC28" s="18"/>
      <c r="DD28" s="18"/>
      <c r="DE28" s="18"/>
      <c r="DF28" s="18"/>
      <c r="DG28" s="17">
        <f>(DA28*DF28*300000)+(DB28*DF28*100000)+(DC28*DF28*100000)+(DD28*DF28*300000)+(DE28*2200000/2)</f>
        <v>0</v>
      </c>
      <c r="DH28" s="16"/>
      <c r="DI28" s="16"/>
    </row>
    <row r="29" spans="1:113" s="15" customFormat="1" ht="23.25" customHeight="1">
      <c r="A29" s="88"/>
      <c r="B29" s="89" t="s">
        <v>44</v>
      </c>
      <c r="C29" s="79">
        <f>SUM(D29:F29)</f>
        <v>14517500</v>
      </c>
      <c r="D29" s="79">
        <v>4255000</v>
      </c>
      <c r="E29" s="79">
        <v>5062500</v>
      </c>
      <c r="F29" s="79">
        <v>5200000</v>
      </c>
      <c r="G29" s="158"/>
      <c r="I29" s="23">
        <v>1</v>
      </c>
      <c r="J29" s="23">
        <v>5</v>
      </c>
      <c r="K29" s="17">
        <f>I29*J29*(0.5*1150000)</f>
        <v>2875000</v>
      </c>
      <c r="L29" s="17"/>
      <c r="M29" s="17"/>
      <c r="N29" s="17">
        <f>L29*M29*(0.5*1150000)</f>
        <v>0</v>
      </c>
      <c r="O29" s="20"/>
      <c r="P29" s="20"/>
      <c r="Q29" s="17">
        <f>O29*P29*(0.5*1150000)</f>
        <v>0</v>
      </c>
      <c r="R29" s="19"/>
      <c r="S29" s="19"/>
      <c r="T29" s="17">
        <f>R29*S29*100000</f>
        <v>0</v>
      </c>
      <c r="U29" s="17"/>
      <c r="V29" s="17"/>
      <c r="W29" s="17">
        <f>U29*V29*100000</f>
        <v>0</v>
      </c>
      <c r="X29" s="19"/>
      <c r="Y29" s="19"/>
      <c r="Z29" s="17">
        <f>X29*Y29*(0.3*1150000)</f>
        <v>0</v>
      </c>
      <c r="AA29" s="18"/>
      <c r="AB29" s="18"/>
      <c r="AC29" s="17">
        <f>AA29*AB29*(0.3*1150000)</f>
        <v>0</v>
      </c>
      <c r="AD29" s="19"/>
      <c r="AE29" s="19"/>
      <c r="AF29" s="17">
        <f>AD29*AE29*(0.3*1150000)</f>
        <v>0</v>
      </c>
      <c r="AG29" s="19">
        <v>1</v>
      </c>
      <c r="AH29" s="19">
        <v>5</v>
      </c>
      <c r="AI29" s="17">
        <f>AG29*AH29*(0.3*1150000)</f>
        <v>1725000</v>
      </c>
      <c r="AJ29" s="18"/>
      <c r="AK29" s="18"/>
      <c r="AL29" s="18"/>
      <c r="AM29" s="18"/>
      <c r="AN29" s="18"/>
      <c r="AO29" s="17">
        <f>((AJ29*200000)+(AK29*100000)+(AL29*100000)+(AM29*300000))*AN29</f>
        <v>0</v>
      </c>
      <c r="AP29" s="18"/>
      <c r="AQ29" s="18"/>
      <c r="AR29" s="18"/>
      <c r="AS29" s="18"/>
      <c r="AT29" s="18"/>
      <c r="AU29" s="17">
        <f>((AP29*200000)+(AQ29*100000)+(AR29*100000)+(AS29*300000))*AT29</f>
        <v>0</v>
      </c>
      <c r="AV29" s="19"/>
      <c r="AW29" s="19"/>
      <c r="AX29" s="19"/>
      <c r="AY29" s="19"/>
      <c r="AZ29" s="19"/>
      <c r="BA29" s="17">
        <f>((AV29*0.5*1150000)+(AW29*0.2*1150000)+(AX29*0.2*1150000)+(AY29*0.3*1150000))*AZ29</f>
        <v>0</v>
      </c>
      <c r="BB29" s="19"/>
      <c r="BC29" s="19"/>
      <c r="BD29" s="19"/>
      <c r="BE29" s="19"/>
      <c r="BF29" s="19"/>
      <c r="BG29" s="17">
        <f>((BB29*0.5*1150000)+(BC29*0.2*1150000)+(BD29*0.2*1150000)+(BE29*0.3*1150000))*BF29</f>
        <v>0</v>
      </c>
      <c r="BH29" s="18"/>
      <c r="BI29" s="18"/>
      <c r="BJ29" s="18"/>
      <c r="BK29" s="18"/>
      <c r="BL29" s="17">
        <f>(BH29*800000*BK29)+(BI29*6062500/2)+(BJ29*15000000)</f>
        <v>0</v>
      </c>
      <c r="BM29" s="19">
        <v>2</v>
      </c>
      <c r="BN29" s="19">
        <v>2</v>
      </c>
      <c r="BO29" s="19">
        <v>1</v>
      </c>
      <c r="BP29" s="19">
        <v>5</v>
      </c>
      <c r="BQ29" s="17">
        <f>(BM29*600000*BP29)+(BN29*4125000/2)+(BO29*7000000)</f>
        <v>17125000</v>
      </c>
      <c r="BR29" s="19"/>
      <c r="BS29" s="19"/>
      <c r="BT29" s="19"/>
      <c r="BU29" s="19"/>
      <c r="BV29" s="19"/>
      <c r="BW29" s="19"/>
      <c r="BX29" s="17">
        <f>(BR29*BW29*300000)+(BS29*BW29*100000)+(BT29*BW29*100000)+(BU29*BW29*300000)+(BV29*2425000/2)</f>
        <v>0</v>
      </c>
      <c r="BY29" s="18"/>
      <c r="BZ29" s="18"/>
      <c r="CA29" s="18"/>
      <c r="CB29" s="18"/>
      <c r="CC29" s="18"/>
      <c r="CD29" s="18"/>
      <c r="CE29" s="17">
        <f>(BY29*CD29*300000)+(BZ29*CD29*100000)+(CA29*CD29*100000)+(CB29*CD29*300000)+(CC29*1400000/2)</f>
        <v>0</v>
      </c>
      <c r="CF29" s="19"/>
      <c r="CG29" s="19"/>
      <c r="CH29" s="19"/>
      <c r="CI29" s="19"/>
      <c r="CJ29" s="19"/>
      <c r="CK29" s="19"/>
      <c r="CL29" s="17">
        <f t="shared" si="32"/>
        <v>0</v>
      </c>
      <c r="CM29" s="18"/>
      <c r="CN29" s="18"/>
      <c r="CO29" s="18"/>
      <c r="CP29" s="18"/>
      <c r="CQ29" s="18"/>
      <c r="CR29" s="18"/>
      <c r="CS29" s="17">
        <f>(CM29*CR29*300000)+(CN29*CR29*100000)+(CO29*CR29*100000)+(CP29*CR29*300000)+(CQ29*2200000/2)</f>
        <v>0</v>
      </c>
      <c r="CT29" s="17"/>
      <c r="CU29" s="17"/>
      <c r="CV29" s="17"/>
      <c r="CW29" s="17"/>
      <c r="CX29" s="17"/>
      <c r="CY29" s="17"/>
      <c r="CZ29" s="17">
        <f>(CT29*CY29*200000)+(CU29*CY29*100000)+(CV29*CY29*100000)+(CW29*CY29*300000)+(CX29*2500000/2)</f>
        <v>0</v>
      </c>
      <c r="DA29" s="18"/>
      <c r="DB29" s="18"/>
      <c r="DC29" s="18"/>
      <c r="DD29" s="18"/>
      <c r="DE29" s="18"/>
      <c r="DF29" s="18"/>
      <c r="DG29" s="17">
        <f>(DA29*DF29*300000)+(DB29*DF29*100000)+(DC29*DF29*100000)+(DD29*DF29*300000)+(DE29*2200000/2)</f>
        <v>0</v>
      </c>
      <c r="DH29" s="16"/>
      <c r="DI29" s="16"/>
    </row>
    <row r="30" spans="1:113" s="15" customFormat="1" ht="23.25" customHeight="1">
      <c r="A30" s="88"/>
      <c r="B30" s="89" t="s">
        <v>20</v>
      </c>
      <c r="C30" s="79">
        <f>SUM(D30:F30)</f>
        <v>7475000</v>
      </c>
      <c r="D30" s="79">
        <v>7475000</v>
      </c>
      <c r="E30" s="79">
        <v>0</v>
      </c>
      <c r="F30" s="79">
        <f>CE30+CL30+CS30+CZ30</f>
        <v>0</v>
      </c>
      <c r="G30" s="158"/>
      <c r="I30" s="18"/>
      <c r="J30" s="18"/>
      <c r="K30" s="17"/>
      <c r="L30" s="17"/>
      <c r="M30" s="17"/>
      <c r="N30" s="17">
        <f>L30*M30*(0.5*1150000)</f>
        <v>0</v>
      </c>
      <c r="O30" s="20"/>
      <c r="P30" s="20"/>
      <c r="Q30" s="17">
        <f>O30*P30*(0.5*1150000)</f>
        <v>0</v>
      </c>
      <c r="R30" s="19"/>
      <c r="S30" s="19"/>
      <c r="T30" s="17"/>
      <c r="U30" s="17"/>
      <c r="V30" s="17"/>
      <c r="W30" s="17"/>
      <c r="X30" s="19"/>
      <c r="Y30" s="19"/>
      <c r="Z30" s="17"/>
      <c r="AA30" s="18"/>
      <c r="AB30" s="18"/>
      <c r="AC30" s="17"/>
      <c r="AD30" s="19"/>
      <c r="AE30" s="19"/>
      <c r="AF30" s="17"/>
      <c r="AG30" s="19"/>
      <c r="AH30" s="19"/>
      <c r="AI30" s="17">
        <f>AG30*AH30*(0.3*1150000)</f>
        <v>0</v>
      </c>
      <c r="AJ30" s="18"/>
      <c r="AK30" s="18"/>
      <c r="AL30" s="18"/>
      <c r="AM30" s="18"/>
      <c r="AN30" s="18"/>
      <c r="AO30" s="17"/>
      <c r="AP30" s="18"/>
      <c r="AQ30" s="18"/>
      <c r="AR30" s="18"/>
      <c r="AS30" s="18"/>
      <c r="AT30" s="18"/>
      <c r="AU30" s="17"/>
      <c r="AV30" s="19"/>
      <c r="AW30" s="19"/>
      <c r="AX30" s="19"/>
      <c r="AY30" s="19"/>
      <c r="AZ30" s="19"/>
      <c r="BA30" s="17"/>
      <c r="BB30" s="19">
        <v>1</v>
      </c>
      <c r="BC30" s="19">
        <v>1</v>
      </c>
      <c r="BD30" s="19"/>
      <c r="BE30" s="19"/>
      <c r="BF30" s="19">
        <v>3</v>
      </c>
      <c r="BG30" s="17">
        <f>((BB30*0.5*1150000)+(BC30*0.2*1150000)+(BD30*0.2*1150000)+(BE30*0.3*1150000))*BF30</f>
        <v>2415000</v>
      </c>
      <c r="BH30" s="18"/>
      <c r="BI30" s="18"/>
      <c r="BJ30" s="18"/>
      <c r="BK30" s="18"/>
      <c r="BL30" s="17"/>
      <c r="BM30" s="19"/>
      <c r="BN30" s="19"/>
      <c r="BO30" s="19"/>
      <c r="BP30" s="19"/>
      <c r="BQ30" s="17">
        <f>(BM30*600000*BP30)+(BN30*4125000/2)+(BO30*7000000)</f>
        <v>0</v>
      </c>
      <c r="BR30" s="19"/>
      <c r="BS30" s="19"/>
      <c r="BT30" s="19"/>
      <c r="BU30" s="19"/>
      <c r="BV30" s="19"/>
      <c r="BW30" s="19"/>
      <c r="BX30" s="17">
        <f>(BR30*BW30*200000)+(BS30*BW30*100000)+(BT30*BW30*100000)+(BU30*BW30*300000)+(BV30*2425000/2)</f>
        <v>0</v>
      </c>
      <c r="BY30" s="18"/>
      <c r="BZ30" s="18"/>
      <c r="CA30" s="18"/>
      <c r="CB30" s="18"/>
      <c r="CC30" s="18"/>
      <c r="CD30" s="18"/>
      <c r="CE30" s="17"/>
      <c r="CF30" s="19"/>
      <c r="CG30" s="19"/>
      <c r="CH30" s="19"/>
      <c r="CI30" s="19"/>
      <c r="CJ30" s="19"/>
      <c r="CK30" s="19"/>
      <c r="CL30" s="17">
        <f t="shared" si="32"/>
        <v>0</v>
      </c>
      <c r="CM30" s="18"/>
      <c r="CN30" s="18"/>
      <c r="CO30" s="18"/>
      <c r="CP30" s="18"/>
      <c r="CQ30" s="18"/>
      <c r="CR30" s="18"/>
      <c r="CS30" s="17"/>
      <c r="CT30" s="17"/>
      <c r="CU30" s="17"/>
      <c r="CV30" s="17"/>
      <c r="CW30" s="17"/>
      <c r="CX30" s="17"/>
      <c r="CY30" s="17"/>
      <c r="CZ30" s="17">
        <f>(CT30*CY30*200000)+(CU30*CY30*100000)+(CV30*CY30*100000)+(CW30*CY30*300000)+(CX30*2500000/2)</f>
        <v>0</v>
      </c>
      <c r="DA30" s="18"/>
      <c r="DB30" s="18"/>
      <c r="DC30" s="18"/>
      <c r="DD30" s="18"/>
      <c r="DE30" s="18"/>
      <c r="DF30" s="18"/>
      <c r="DG30" s="17"/>
      <c r="DH30" s="16"/>
      <c r="DI30" s="16"/>
    </row>
    <row r="31" spans="1:113" s="15" customFormat="1" ht="23.25" customHeight="1">
      <c r="A31" s="88"/>
      <c r="B31" s="89" t="s">
        <v>21</v>
      </c>
      <c r="C31" s="79">
        <f>SUM(D31:F31)</f>
        <v>10542500</v>
      </c>
      <c r="D31" s="79">
        <v>3680000</v>
      </c>
      <c r="E31" s="79">
        <v>5062500</v>
      </c>
      <c r="F31" s="79">
        <v>1800000</v>
      </c>
      <c r="G31" s="158"/>
      <c r="I31" s="18"/>
      <c r="J31" s="18"/>
      <c r="K31" s="17">
        <f>I31*J31*(0.5*1150000)</f>
        <v>0</v>
      </c>
      <c r="L31" s="17"/>
      <c r="M31" s="17"/>
      <c r="N31" s="17">
        <f>L31*M31*(0.5*1150000)</f>
        <v>0</v>
      </c>
      <c r="O31" s="20">
        <v>1</v>
      </c>
      <c r="P31" s="20">
        <v>5</v>
      </c>
      <c r="Q31" s="17">
        <f>O31*P31*(0.5*1150000)</f>
        <v>2875000</v>
      </c>
      <c r="R31" s="19"/>
      <c r="S31" s="19"/>
      <c r="T31" s="17">
        <f>R31*S31*100000</f>
        <v>0</v>
      </c>
      <c r="U31" s="17"/>
      <c r="V31" s="17"/>
      <c r="W31" s="17">
        <f>U31*V31*100000</f>
        <v>0</v>
      </c>
      <c r="X31" s="19"/>
      <c r="Y31" s="19"/>
      <c r="Z31" s="17">
        <f>X31*Y31*(0.3*1150000)</f>
        <v>0</v>
      </c>
      <c r="AA31" s="18"/>
      <c r="AB31" s="18"/>
      <c r="AC31" s="17">
        <f>AA31*AB31*(0.3*1150000)</f>
        <v>0</v>
      </c>
      <c r="AD31" s="19"/>
      <c r="AE31" s="19"/>
      <c r="AF31" s="17">
        <f>AD31*AE31*(0.3*1150000)</f>
        <v>0</v>
      </c>
      <c r="AG31" s="19"/>
      <c r="AH31" s="19"/>
      <c r="AI31" s="17">
        <f>AG31*AH31*(0.3*1150000)</f>
        <v>0</v>
      </c>
      <c r="AJ31" s="18"/>
      <c r="AK31" s="18"/>
      <c r="AL31" s="18"/>
      <c r="AM31" s="18"/>
      <c r="AN31" s="18"/>
      <c r="AO31" s="17">
        <f>((AJ31*200000)+(AK31*100000)+(AL31*100000)+(AM31*300000))*AN31</f>
        <v>0</v>
      </c>
      <c r="AP31" s="18"/>
      <c r="AQ31" s="18"/>
      <c r="AR31" s="18"/>
      <c r="AS31" s="18"/>
      <c r="AT31" s="18"/>
      <c r="AU31" s="17">
        <f>((AP31*200000)+(AQ31*100000)+(AR31*100000)+(AS31*300000))*AT31</f>
        <v>0</v>
      </c>
      <c r="AV31" s="19"/>
      <c r="AW31" s="19"/>
      <c r="AX31" s="19"/>
      <c r="AY31" s="19"/>
      <c r="AZ31" s="19"/>
      <c r="BA31" s="17">
        <f>((AV31*0.5*1150000)+(AW31*0.2*1150000)+(AX31*0.2*1150000)+(AY31*0.3*1150000))*AZ31</f>
        <v>0</v>
      </c>
      <c r="BB31" s="19"/>
      <c r="BC31" s="19"/>
      <c r="BD31" s="19"/>
      <c r="BE31" s="19"/>
      <c r="BF31" s="19"/>
      <c r="BG31" s="17">
        <f>((BB31*0.5*1150000)+(BC31*0.2*1150000)+(BD31*0.2*1150000)+(BE31*0.3*1150000))*BF31</f>
        <v>0</v>
      </c>
      <c r="BH31" s="18"/>
      <c r="BI31" s="18"/>
      <c r="BJ31" s="18"/>
      <c r="BK31" s="18"/>
      <c r="BL31" s="17">
        <f>(BH31*800000*BK31)+(BI31*6062500/2)+(BJ31*15000000)</f>
        <v>0</v>
      </c>
      <c r="BM31" s="19">
        <v>1</v>
      </c>
      <c r="BN31" s="19">
        <v>1</v>
      </c>
      <c r="BO31" s="19"/>
      <c r="BP31" s="19">
        <v>5</v>
      </c>
      <c r="BQ31" s="17">
        <f>(BM31*600000*BP31)+(BN31*3637500/2)+(BO31*7000000)</f>
        <v>4818750</v>
      </c>
      <c r="BR31" s="19"/>
      <c r="BS31" s="19"/>
      <c r="BT31" s="19"/>
      <c r="BU31" s="19"/>
      <c r="BV31" s="19"/>
      <c r="BW31" s="19"/>
      <c r="BX31" s="17">
        <f>(BR31*BW31*300000)+(BS31*BW31*100000)+(BT31*BW31*100000)+(BU31*BW31*300000)+(BV31*2425000/2)</f>
        <v>0</v>
      </c>
      <c r="BY31" s="18"/>
      <c r="BZ31" s="18"/>
      <c r="CA31" s="18"/>
      <c r="CB31" s="18"/>
      <c r="CC31" s="18"/>
      <c r="CD31" s="18"/>
      <c r="CE31" s="17">
        <f>(BY31*CD31*300000)+(BZ31*CD31*100000)+(CA31*CD31*100000)+(CB31*CD31*300000)+(CC31*1400000/2)</f>
        <v>0</v>
      </c>
      <c r="CF31" s="19"/>
      <c r="CG31" s="19"/>
      <c r="CH31" s="19"/>
      <c r="CI31" s="19"/>
      <c r="CJ31" s="19"/>
      <c r="CK31" s="19"/>
      <c r="CL31" s="17">
        <f t="shared" si="32"/>
        <v>0</v>
      </c>
      <c r="CM31" s="18"/>
      <c r="CN31" s="18"/>
      <c r="CO31" s="18"/>
      <c r="CP31" s="18"/>
      <c r="CQ31" s="18"/>
      <c r="CR31" s="18"/>
      <c r="CS31" s="17">
        <f>(CM31*CR31*300000)+(CN31*CR31*100000)+(CO31*CR31*100000)+(CP31*CR31*300000)+(CQ31*2200000/2)</f>
        <v>0</v>
      </c>
      <c r="CT31" s="17"/>
      <c r="CU31" s="17"/>
      <c r="CV31" s="17"/>
      <c r="CW31" s="17"/>
      <c r="CX31" s="17"/>
      <c r="CY31" s="17"/>
      <c r="CZ31" s="17">
        <f>(CT31*CY31*200000)+(CU31*CY31*100000)+(CV31*CY31*100000)+(CW31*CY31*300000)+(CX31*2500000/2)</f>
        <v>0</v>
      </c>
      <c r="DA31" s="18"/>
      <c r="DB31" s="18"/>
      <c r="DC31" s="18"/>
      <c r="DD31" s="18"/>
      <c r="DE31" s="18"/>
      <c r="DF31" s="18"/>
      <c r="DG31" s="17">
        <f>(DA31*DF31*300000)+(DB31*DF31*100000)+(DC31*DF31*100000)+(DD31*DF31*300000)+(DE31*2200000/2)</f>
        <v>0</v>
      </c>
      <c r="DH31" s="16"/>
      <c r="DI31" s="16"/>
    </row>
    <row r="32" spans="1:113" s="15" customFormat="1" ht="23.25" customHeight="1">
      <c r="A32" s="88"/>
      <c r="B32" s="89" t="s">
        <v>22</v>
      </c>
      <c r="C32" s="79">
        <f>SUM(D32:F32)</f>
        <v>19775000</v>
      </c>
      <c r="D32" s="79">
        <v>5175000</v>
      </c>
      <c r="E32" s="79">
        <v>14600000</v>
      </c>
      <c r="F32" s="79">
        <v>0</v>
      </c>
      <c r="G32" s="158"/>
      <c r="I32" s="18"/>
      <c r="J32" s="18"/>
      <c r="K32" s="17"/>
      <c r="L32" s="17"/>
      <c r="M32" s="17"/>
      <c r="N32" s="17"/>
      <c r="O32" s="20"/>
      <c r="P32" s="20"/>
      <c r="Q32" s="17"/>
      <c r="R32" s="19"/>
      <c r="S32" s="19"/>
      <c r="T32" s="17"/>
      <c r="U32" s="17"/>
      <c r="V32" s="17"/>
      <c r="W32" s="17"/>
      <c r="X32" s="19"/>
      <c r="Y32" s="19"/>
      <c r="Z32" s="17"/>
      <c r="AA32" s="18"/>
      <c r="AB32" s="18"/>
      <c r="AC32" s="17"/>
      <c r="AD32" s="19"/>
      <c r="AE32" s="19"/>
      <c r="AF32" s="17"/>
      <c r="AG32" s="19"/>
      <c r="AH32" s="19"/>
      <c r="AI32" s="17"/>
      <c r="AJ32" s="18"/>
      <c r="AK32" s="18"/>
      <c r="AL32" s="18"/>
      <c r="AM32" s="18"/>
      <c r="AN32" s="18"/>
      <c r="AO32" s="17"/>
      <c r="AP32" s="18"/>
      <c r="AQ32" s="18"/>
      <c r="AR32" s="18"/>
      <c r="AS32" s="18"/>
      <c r="AT32" s="18"/>
      <c r="AU32" s="17"/>
      <c r="AV32" s="19"/>
      <c r="AW32" s="19"/>
      <c r="AX32" s="19"/>
      <c r="AY32" s="19"/>
      <c r="AZ32" s="19"/>
      <c r="BA32" s="17"/>
      <c r="BB32" s="19"/>
      <c r="BC32" s="19"/>
      <c r="BD32" s="19"/>
      <c r="BE32" s="19"/>
      <c r="BF32" s="19"/>
      <c r="BG32" s="17"/>
      <c r="BH32" s="18"/>
      <c r="BI32" s="18"/>
      <c r="BJ32" s="18"/>
      <c r="BK32" s="18"/>
      <c r="BL32" s="17"/>
      <c r="BM32" s="19">
        <v>1</v>
      </c>
      <c r="BN32" s="19">
        <v>1</v>
      </c>
      <c r="BO32" s="19"/>
      <c r="BP32" s="19">
        <v>5</v>
      </c>
      <c r="BQ32" s="17">
        <f>(BM32*600000*BP32)+(BN32*4125500/2)+(BO32*7000000)</f>
        <v>5062750</v>
      </c>
      <c r="BR32" s="19"/>
      <c r="BS32" s="19"/>
      <c r="BT32" s="19"/>
      <c r="BU32" s="19"/>
      <c r="BV32" s="19"/>
      <c r="BW32" s="19"/>
      <c r="BX32" s="17"/>
      <c r="BY32" s="18"/>
      <c r="BZ32" s="18"/>
      <c r="CA32" s="18"/>
      <c r="CB32" s="18"/>
      <c r="CC32" s="18"/>
      <c r="CD32" s="18"/>
      <c r="CE32" s="17"/>
      <c r="CF32" s="19">
        <v>1</v>
      </c>
      <c r="CG32" s="19"/>
      <c r="CH32" s="19"/>
      <c r="CI32" s="19"/>
      <c r="CJ32" s="19">
        <v>1</v>
      </c>
      <c r="CK32" s="19">
        <v>2</v>
      </c>
      <c r="CL32" s="17">
        <f t="shared" si="32"/>
        <v>1600000</v>
      </c>
      <c r="CM32" s="18"/>
      <c r="CN32" s="18"/>
      <c r="CO32" s="18"/>
      <c r="CP32" s="18"/>
      <c r="CQ32" s="18"/>
      <c r="CR32" s="18"/>
      <c r="CS32" s="17"/>
      <c r="CT32" s="17"/>
      <c r="CU32" s="17"/>
      <c r="CV32" s="17"/>
      <c r="CW32" s="17"/>
      <c r="CX32" s="17"/>
      <c r="CY32" s="17"/>
      <c r="CZ32" s="17"/>
      <c r="DA32" s="18"/>
      <c r="DB32" s="18"/>
      <c r="DC32" s="18"/>
      <c r="DD32" s="18"/>
      <c r="DE32" s="18"/>
      <c r="DF32" s="18"/>
      <c r="DG32" s="17"/>
      <c r="DH32" s="16"/>
      <c r="DI32" s="16"/>
    </row>
    <row r="33" spans="1:113" s="15" customFormat="1" ht="23.25" customHeight="1">
      <c r="A33" s="88"/>
      <c r="B33" s="89" t="s">
        <v>145</v>
      </c>
      <c r="C33" s="79">
        <f aca="true" t="shared" si="33" ref="C33:C40">SUM(D33:F33)</f>
        <v>4830000</v>
      </c>
      <c r="D33" s="79">
        <v>4830000</v>
      </c>
      <c r="E33" s="79">
        <v>0</v>
      </c>
      <c r="F33" s="79">
        <v>0</v>
      </c>
      <c r="G33" s="158"/>
      <c r="I33" s="18"/>
      <c r="J33" s="18"/>
      <c r="K33" s="17">
        <f>I33*J33*(0.5*1150000)</f>
        <v>0</v>
      </c>
      <c r="L33" s="17"/>
      <c r="M33" s="17"/>
      <c r="N33" s="17">
        <f>L33*M33*(0.5*1150000)</f>
        <v>0</v>
      </c>
      <c r="O33" s="20"/>
      <c r="P33" s="20"/>
      <c r="Q33" s="17">
        <f>O33*P33*(0.5*1150000)</f>
        <v>0</v>
      </c>
      <c r="R33" s="19"/>
      <c r="S33" s="19"/>
      <c r="T33" s="17">
        <f>R33*S33*100000</f>
        <v>0</v>
      </c>
      <c r="U33" s="17"/>
      <c r="V33" s="17"/>
      <c r="W33" s="17">
        <f>U33*V33*100000</f>
        <v>0</v>
      </c>
      <c r="X33" s="19"/>
      <c r="Y33" s="19"/>
      <c r="Z33" s="17">
        <f>X33*Y33*(0.3*1150000)</f>
        <v>0</v>
      </c>
      <c r="AA33" s="18"/>
      <c r="AB33" s="18"/>
      <c r="AC33" s="17">
        <f>AA33*AB33*(0.3*1150000)</f>
        <v>0</v>
      </c>
      <c r="AD33" s="19"/>
      <c r="AE33" s="19"/>
      <c r="AF33" s="17">
        <f>AD33*AE33*(0.3*1150000)</f>
        <v>0</v>
      </c>
      <c r="AG33" s="19">
        <v>1</v>
      </c>
      <c r="AH33" s="19">
        <v>5</v>
      </c>
      <c r="AI33" s="17">
        <f>AG33*AH33*(0.3*1150000)</f>
        <v>1725000</v>
      </c>
      <c r="AJ33" s="18"/>
      <c r="AK33" s="18"/>
      <c r="AL33" s="18"/>
      <c r="AM33" s="18"/>
      <c r="AN33" s="18"/>
      <c r="AO33" s="17">
        <f>((AJ33*200000)+(AK33*100000)+(AL33*100000)+(AM33*300000))*AN33</f>
        <v>0</v>
      </c>
      <c r="AP33" s="18"/>
      <c r="AQ33" s="18"/>
      <c r="AR33" s="18"/>
      <c r="AS33" s="18"/>
      <c r="AT33" s="18"/>
      <c r="AU33" s="17">
        <f>((AP33*200000)+(AQ33*100000)+(AR33*100000)+(AS33*300000))*AT33</f>
        <v>0</v>
      </c>
      <c r="AV33" s="24">
        <v>1</v>
      </c>
      <c r="AW33" s="24">
        <v>1</v>
      </c>
      <c r="AX33" s="24"/>
      <c r="AY33" s="24"/>
      <c r="AZ33" s="24">
        <v>3</v>
      </c>
      <c r="BA33" s="17">
        <f>((AV33*0.5*1150000)+(AW33*0.2*1150000)+(AX33*0.2*1150000)+(AY33*0.3*1150000))*AZ33</f>
        <v>2415000</v>
      </c>
      <c r="BB33" s="24"/>
      <c r="BC33" s="24"/>
      <c r="BD33" s="24"/>
      <c r="BE33" s="24"/>
      <c r="BF33" s="24"/>
      <c r="BG33" s="17">
        <f aca="true" t="shared" si="34" ref="BG33:BG54">((BB33*0.5*1150000)+(BC33*0.2*1150000)+(BD33*0.2*1150000)+(BE33*0.3*1150000))*BF33</f>
        <v>0</v>
      </c>
      <c r="BH33" s="23">
        <v>1</v>
      </c>
      <c r="BI33" s="23">
        <v>1</v>
      </c>
      <c r="BJ33" s="18"/>
      <c r="BK33" s="23">
        <v>6</v>
      </c>
      <c r="BL33" s="17">
        <f>(BH33*800000*BK33)+(BI33*6062500/2)+(BJ33*15000000)+3031250</f>
        <v>10862500</v>
      </c>
      <c r="BM33" s="19"/>
      <c r="BN33" s="19"/>
      <c r="BO33" s="19"/>
      <c r="BP33" s="19"/>
      <c r="BQ33" s="17">
        <f>(BM33*600000*BP33)+(BN33*4125000/2)+(BO33*7000000)</f>
        <v>0</v>
      </c>
      <c r="BR33" s="19"/>
      <c r="BS33" s="19"/>
      <c r="BT33" s="19"/>
      <c r="BU33" s="19"/>
      <c r="BV33" s="19"/>
      <c r="BW33" s="19"/>
      <c r="BX33" s="17">
        <f>(BR33*BW33*300000)+(BS33*BW33*100000)+(BT33*BW33*100000)+(BU33*BW33*300000)+(BV33*2425000/2)</f>
        <v>0</v>
      </c>
      <c r="BY33" s="18"/>
      <c r="BZ33" s="18"/>
      <c r="CA33" s="18"/>
      <c r="CB33" s="18"/>
      <c r="CC33" s="18"/>
      <c r="CD33" s="18"/>
      <c r="CE33" s="17">
        <f>(BY33*CD33*300000)+(BZ33*CD33*100000)+(CA33*CD33*100000)+(CB33*CD33*300000)+(CC33*1400000/2)</f>
        <v>0</v>
      </c>
      <c r="CF33" s="19">
        <v>3</v>
      </c>
      <c r="CG33" s="19">
        <v>3</v>
      </c>
      <c r="CH33" s="19"/>
      <c r="CI33" s="19">
        <v>1</v>
      </c>
      <c r="CJ33" s="19">
        <v>3</v>
      </c>
      <c r="CK33" s="19">
        <v>2</v>
      </c>
      <c r="CL33" s="17">
        <f t="shared" si="32"/>
        <v>6000000</v>
      </c>
      <c r="CM33" s="19"/>
      <c r="CN33" s="19"/>
      <c r="CO33" s="19"/>
      <c r="CP33" s="19"/>
      <c r="CQ33" s="19"/>
      <c r="CR33" s="19"/>
      <c r="CS33" s="17">
        <f>(CM33*CR33*300000)+(CN33*CR33*100000)+(CO33*CR33*100000)+(CP33*CR33*300000)+(CQ33*2200000/2)</f>
        <v>0</v>
      </c>
      <c r="CT33" s="19"/>
      <c r="CU33" s="19"/>
      <c r="CV33" s="19"/>
      <c r="CW33" s="19"/>
      <c r="CX33" s="19"/>
      <c r="CY33" s="19"/>
      <c r="CZ33" s="17">
        <f>(CT33*CY33*200000)+(CU33*CY33*100000)+(CV33*CY33*100000)+(CW33*CY33*300000)+(CX33*2500000/2)</f>
        <v>0</v>
      </c>
      <c r="DA33" s="19"/>
      <c r="DB33" s="19"/>
      <c r="DC33" s="19"/>
      <c r="DD33" s="19"/>
      <c r="DE33" s="19"/>
      <c r="DF33" s="19"/>
      <c r="DG33" s="17">
        <f>(DA33*DF33*300000)+(DB33*DF33*100000)+(DC33*DF33*100000)+(DD33*DF33*300000)+(DE33*2200000/2)</f>
        <v>0</v>
      </c>
      <c r="DH33" s="16"/>
      <c r="DI33" s="16"/>
    </row>
    <row r="34" spans="1:113" s="15" customFormat="1" ht="23.25" customHeight="1">
      <c r="A34" s="88"/>
      <c r="B34" s="89" t="s">
        <v>146</v>
      </c>
      <c r="C34" s="79">
        <f t="shared" si="33"/>
        <v>2875000</v>
      </c>
      <c r="D34" s="79">
        <v>2875000</v>
      </c>
      <c r="E34" s="79"/>
      <c r="F34" s="79">
        <f>CE34+CL34+CS34+CZ34</f>
        <v>0</v>
      </c>
      <c r="G34" s="158"/>
      <c r="I34" s="18"/>
      <c r="J34" s="18"/>
      <c r="K34" s="17">
        <f>I34*J34*(0.5*1150000)</f>
        <v>0</v>
      </c>
      <c r="L34" s="17"/>
      <c r="M34" s="17"/>
      <c r="N34" s="17">
        <f>L34*M34*(0.5*1150000)</f>
        <v>0</v>
      </c>
      <c r="O34" s="20"/>
      <c r="P34" s="20"/>
      <c r="Q34" s="17">
        <f>O34*P34*(0.5*1150000)</f>
        <v>0</v>
      </c>
      <c r="R34" s="19"/>
      <c r="S34" s="19"/>
      <c r="T34" s="17"/>
      <c r="U34" s="17"/>
      <c r="V34" s="17"/>
      <c r="W34" s="17">
        <f>U34*V34*100000</f>
        <v>0</v>
      </c>
      <c r="X34" s="19"/>
      <c r="Y34" s="19"/>
      <c r="Z34" s="17">
        <f>X34*Y34*(0.3*1150000)</f>
        <v>0</v>
      </c>
      <c r="AA34" s="18"/>
      <c r="AB34" s="18"/>
      <c r="AC34" s="17">
        <f>AA34*AB34*(0.3*1150000)</f>
        <v>0</v>
      </c>
      <c r="AD34" s="19">
        <v>1</v>
      </c>
      <c r="AE34" s="19">
        <v>10</v>
      </c>
      <c r="AF34" s="17">
        <f>AD34*AE34*(0.3*1150000)</f>
        <v>3450000</v>
      </c>
      <c r="AG34" s="19"/>
      <c r="AH34" s="19"/>
      <c r="AI34" s="17">
        <f>AG34*AH34*(0.3*1150000)</f>
        <v>0</v>
      </c>
      <c r="AJ34" s="18"/>
      <c r="AK34" s="18"/>
      <c r="AL34" s="18"/>
      <c r="AM34" s="18"/>
      <c r="AN34" s="18"/>
      <c r="AO34" s="17">
        <f>((AJ34*200000)+(AK34*100000)+(AL34*100000)+(AM34*300000))*AN34</f>
        <v>0</v>
      </c>
      <c r="AP34" s="18"/>
      <c r="AQ34" s="18"/>
      <c r="AR34" s="18"/>
      <c r="AS34" s="18"/>
      <c r="AT34" s="18"/>
      <c r="AU34" s="17">
        <f>((AP34*200000)+(AQ34*100000)+(AR34*100000)+(AS34*300000))*AT34</f>
        <v>0</v>
      </c>
      <c r="AV34" s="19">
        <v>1</v>
      </c>
      <c r="AW34" s="19">
        <v>1</v>
      </c>
      <c r="AX34" s="19"/>
      <c r="AY34" s="19"/>
      <c r="AZ34" s="19">
        <v>3</v>
      </c>
      <c r="BA34" s="17">
        <f>((AV34*0.5*1150000)+(AW34*0.2*1150000)+(AX34*0.2*1150000)+(AY34*0.3*1150000))*AZ34</f>
        <v>2415000</v>
      </c>
      <c r="BB34" s="19">
        <v>1</v>
      </c>
      <c r="BC34" s="19">
        <v>1</v>
      </c>
      <c r="BD34" s="19"/>
      <c r="BE34" s="19"/>
      <c r="BF34" s="19">
        <v>3</v>
      </c>
      <c r="BG34" s="17">
        <f>((BB34*0.5*1150000)+(BC34*0.2*1150000)+(BD34*0.2*1150000)+(BE34*0.3*1150000))*BF34</f>
        <v>2415000</v>
      </c>
      <c r="BH34" s="18"/>
      <c r="BI34" s="18"/>
      <c r="BJ34" s="18"/>
      <c r="BK34" s="18"/>
      <c r="BL34" s="17">
        <f>(BH34*800000*BK34)+(BI34*6062500/2)+(BJ34*15000000)</f>
        <v>0</v>
      </c>
      <c r="BM34" s="19">
        <v>1</v>
      </c>
      <c r="BN34" s="19">
        <v>1</v>
      </c>
      <c r="BO34" s="19"/>
      <c r="BP34" s="19">
        <v>5</v>
      </c>
      <c r="BQ34" s="17">
        <f>(BM34*600000*BP34)+(BN34*4125000/2)+(BO34*7000000)</f>
        <v>5062500</v>
      </c>
      <c r="BR34" s="19"/>
      <c r="BS34" s="19"/>
      <c r="BT34" s="19"/>
      <c r="BU34" s="19"/>
      <c r="BV34" s="19"/>
      <c r="BW34" s="19"/>
      <c r="BX34" s="17">
        <f>(BR34*BW34*300000)+(BS34*BW34*100000)+(BT34*BW34*100000)+(BU34*BW34*300000)+(BV34*2425000/2)</f>
        <v>0</v>
      </c>
      <c r="BY34" s="18"/>
      <c r="BZ34" s="18"/>
      <c r="CA34" s="18"/>
      <c r="CB34" s="18"/>
      <c r="CC34" s="18"/>
      <c r="CD34" s="18"/>
      <c r="CE34" s="17">
        <f>(BY34*CD34*300000)+(BZ34*CD34*100000)+(CA34*CD34*100000)+(CB34*CD34*300000)+(CC34*1400000/2)</f>
        <v>0</v>
      </c>
      <c r="CF34" s="19"/>
      <c r="CG34" s="19"/>
      <c r="CH34" s="19"/>
      <c r="CI34" s="19"/>
      <c r="CJ34" s="19"/>
      <c r="CK34" s="19"/>
      <c r="CL34" s="17">
        <f>(CF34*CK34*300000)+(CG34*CK34*100000)+(CH34*CK34*100000)+(CI34*CK34*300000)+(CJ34*2000000/2)</f>
        <v>0</v>
      </c>
      <c r="CM34" s="19"/>
      <c r="CN34" s="19"/>
      <c r="CO34" s="19"/>
      <c r="CP34" s="19"/>
      <c r="CQ34" s="19"/>
      <c r="CR34" s="19"/>
      <c r="CS34" s="17">
        <f>(CM34*CR34*300000)+(CN34*CR34*100000)+(CO34*CR34*100000)+(CP34*CR34*300000)+(CQ34*2200000/2)</f>
        <v>0</v>
      </c>
      <c r="CT34" s="17"/>
      <c r="CU34" s="17"/>
      <c r="CV34" s="17"/>
      <c r="CW34" s="17"/>
      <c r="CX34" s="17"/>
      <c r="CY34" s="17"/>
      <c r="CZ34" s="17">
        <f>(CT34*CY34*200000)+(CU34*CY34*100000)+(CV34*CY34*100000)+(CW34*CY34*300000)+(CX34*2500000/2)</f>
        <v>0</v>
      </c>
      <c r="DA34" s="19"/>
      <c r="DB34" s="19"/>
      <c r="DC34" s="19"/>
      <c r="DD34" s="19"/>
      <c r="DE34" s="19"/>
      <c r="DF34" s="19"/>
      <c r="DG34" s="17">
        <f>(DA34*DF34*300000)+(DB34*DF34*100000)+(DC34*DF34*100000)+(DD34*DF34*300000)+(DE34*2200000/2)</f>
        <v>0</v>
      </c>
      <c r="DH34" s="16"/>
      <c r="DI34" s="16"/>
    </row>
    <row r="35" spans="1:113" s="15" customFormat="1" ht="23.25" customHeight="1">
      <c r="A35" s="88"/>
      <c r="B35" s="89" t="s">
        <v>115</v>
      </c>
      <c r="C35" s="79">
        <f t="shared" si="33"/>
        <v>3105000</v>
      </c>
      <c r="D35" s="79">
        <v>3105000</v>
      </c>
      <c r="E35" s="79"/>
      <c r="F35" s="79"/>
      <c r="G35" s="158"/>
      <c r="I35" s="23">
        <v>1</v>
      </c>
      <c r="J35" s="23">
        <v>5</v>
      </c>
      <c r="K35" s="17">
        <f>I35*J35*(0.5*1150000)</f>
        <v>2875000</v>
      </c>
      <c r="L35" s="17"/>
      <c r="M35" s="17"/>
      <c r="N35" s="17"/>
      <c r="O35" s="20"/>
      <c r="P35" s="20"/>
      <c r="Q35" s="17">
        <f>O35*P35*(0.5*1150000)</f>
        <v>0</v>
      </c>
      <c r="R35" s="19"/>
      <c r="S35" s="19"/>
      <c r="T35" s="17"/>
      <c r="U35" s="17"/>
      <c r="V35" s="17"/>
      <c r="W35" s="17"/>
      <c r="X35" s="19"/>
      <c r="Y35" s="19"/>
      <c r="Z35" s="17"/>
      <c r="AA35" s="18"/>
      <c r="AB35" s="18"/>
      <c r="AC35" s="17"/>
      <c r="AD35" s="19"/>
      <c r="AE35" s="19"/>
      <c r="AF35" s="17"/>
      <c r="AG35" s="19"/>
      <c r="AH35" s="19"/>
      <c r="AI35" s="17">
        <f>AG35*AH35*(0.3*1150000)</f>
        <v>0</v>
      </c>
      <c r="AJ35" s="18"/>
      <c r="AK35" s="18"/>
      <c r="AL35" s="18"/>
      <c r="AM35" s="18"/>
      <c r="AN35" s="18"/>
      <c r="AO35" s="17"/>
      <c r="AP35" s="18"/>
      <c r="AQ35" s="18"/>
      <c r="AR35" s="18"/>
      <c r="AS35" s="18"/>
      <c r="AT35" s="18"/>
      <c r="AU35" s="17"/>
      <c r="AV35" s="19"/>
      <c r="AW35" s="19"/>
      <c r="AX35" s="19"/>
      <c r="AY35" s="19"/>
      <c r="AZ35" s="19"/>
      <c r="BA35" s="17"/>
      <c r="BB35" s="19"/>
      <c r="BC35" s="19"/>
      <c r="BD35" s="19"/>
      <c r="BE35" s="19"/>
      <c r="BF35" s="19"/>
      <c r="BG35" s="17">
        <f>((BB35*0.5*1150000)+(BC35*0.2*1150000)+(BD35*0.2*1150000)+(BE35*0.3*1150000))*BF35</f>
        <v>0</v>
      </c>
      <c r="BH35" s="18"/>
      <c r="BI35" s="18"/>
      <c r="BJ35" s="18"/>
      <c r="BK35" s="18"/>
      <c r="BL35" s="17"/>
      <c r="BM35" s="19"/>
      <c r="BN35" s="19"/>
      <c r="BO35" s="19"/>
      <c r="BP35" s="19"/>
      <c r="BQ35" s="17">
        <f>(BM35*600000*BP35)+(BN35*4125000/2)+(BO35*7000000)</f>
        <v>0</v>
      </c>
      <c r="BR35" s="19"/>
      <c r="BS35" s="19"/>
      <c r="BT35" s="19"/>
      <c r="BU35" s="19"/>
      <c r="BV35" s="19"/>
      <c r="BW35" s="19"/>
      <c r="BX35" s="17"/>
      <c r="BY35" s="18"/>
      <c r="BZ35" s="18"/>
      <c r="CA35" s="18"/>
      <c r="CB35" s="18"/>
      <c r="CC35" s="18"/>
      <c r="CD35" s="18"/>
      <c r="CE35" s="17"/>
      <c r="CF35" s="19"/>
      <c r="CG35" s="19"/>
      <c r="CH35" s="19"/>
      <c r="CI35" s="19"/>
      <c r="CJ35" s="19"/>
      <c r="CK35" s="19"/>
      <c r="CL35" s="17">
        <f>(CF35*CK35*300000)+(CG35*CK35*100000)+(CH35*CK35*100000)+(CI35*CK35*300000)+(CJ35*2000000/2)</f>
        <v>0</v>
      </c>
      <c r="CM35" s="19"/>
      <c r="CN35" s="19"/>
      <c r="CO35" s="19"/>
      <c r="CP35" s="19"/>
      <c r="CQ35" s="19"/>
      <c r="CR35" s="19"/>
      <c r="CS35" s="17"/>
      <c r="CT35" s="17"/>
      <c r="CU35" s="17"/>
      <c r="CV35" s="17"/>
      <c r="CW35" s="17"/>
      <c r="CX35" s="17"/>
      <c r="CY35" s="17"/>
      <c r="CZ35" s="17">
        <f>(CT35*CY35*200000)+(CU35*CY35*100000)+(CV35*CY35*100000)+(CW35*CY35*300000)+(CX35*2500000/2)</f>
        <v>0</v>
      </c>
      <c r="DA35" s="19"/>
      <c r="DB35" s="19"/>
      <c r="DC35" s="19"/>
      <c r="DD35" s="19"/>
      <c r="DE35" s="19"/>
      <c r="DF35" s="19"/>
      <c r="DG35" s="17"/>
      <c r="DH35" s="16"/>
      <c r="DI35" s="16"/>
    </row>
    <row r="36" spans="1:113" s="15" customFormat="1" ht="23.25" customHeight="1">
      <c r="A36" s="58">
        <v>2</v>
      </c>
      <c r="B36" s="59" t="s">
        <v>23</v>
      </c>
      <c r="C36" s="53">
        <f t="shared" si="33"/>
        <v>54954000</v>
      </c>
      <c r="D36" s="53">
        <v>5520000</v>
      </c>
      <c r="E36" s="53">
        <v>49434000</v>
      </c>
      <c r="F36" s="53">
        <f>CE36+CL36+CS36+CZ36</f>
        <v>0</v>
      </c>
      <c r="G36" s="60"/>
      <c r="I36" s="18"/>
      <c r="J36" s="18"/>
      <c r="K36" s="17">
        <f>I36*J36*(0.5*1150000)</f>
        <v>0</v>
      </c>
      <c r="L36" s="17"/>
      <c r="M36" s="17"/>
      <c r="N36" s="17">
        <f>L36*M36*(0.5*1150000)</f>
        <v>0</v>
      </c>
      <c r="O36" s="20"/>
      <c r="P36" s="20"/>
      <c r="Q36" s="17">
        <f>O36*P36*(0.5*1150000)</f>
        <v>0</v>
      </c>
      <c r="R36" s="19"/>
      <c r="S36" s="19"/>
      <c r="T36" s="17">
        <f>R36*S36*100000</f>
        <v>0</v>
      </c>
      <c r="U36" s="17"/>
      <c r="V36" s="17"/>
      <c r="W36" s="17">
        <f>U36*V36*100000</f>
        <v>0</v>
      </c>
      <c r="X36" s="19"/>
      <c r="Y36" s="19"/>
      <c r="Z36" s="17">
        <f>X36*Y36*(0.3*1150000)</f>
        <v>0</v>
      </c>
      <c r="AA36" s="18"/>
      <c r="AB36" s="18"/>
      <c r="AC36" s="17">
        <f>AA36*AB36*(0.3*1150000)</f>
        <v>0</v>
      </c>
      <c r="AD36" s="19"/>
      <c r="AE36" s="19"/>
      <c r="AF36" s="17">
        <f>AD36*AE36*(0.3*1150000)</f>
        <v>0</v>
      </c>
      <c r="AG36" s="19"/>
      <c r="AH36" s="19"/>
      <c r="AI36" s="17">
        <f>AG36*AH36*(0.3*1150000)</f>
        <v>0</v>
      </c>
      <c r="AJ36" s="18"/>
      <c r="AK36" s="18"/>
      <c r="AL36" s="18"/>
      <c r="AM36" s="18"/>
      <c r="AN36" s="18"/>
      <c r="AO36" s="17">
        <f>((AJ36*200000)+(AK36*100000)+(AL36*100000)+(AM36*300000))*AN36</f>
        <v>0</v>
      </c>
      <c r="AP36" s="18"/>
      <c r="AQ36" s="18"/>
      <c r="AR36" s="18"/>
      <c r="AS36" s="18"/>
      <c r="AT36" s="18"/>
      <c r="AU36" s="17">
        <f>((AP36*200000)+(AQ36*100000)+(AR36*100000)+(AS36*300000))*AT36</f>
        <v>0</v>
      </c>
      <c r="AV36" s="19">
        <v>1</v>
      </c>
      <c r="AW36" s="19">
        <v>1</v>
      </c>
      <c r="AX36" s="19"/>
      <c r="AY36" s="19"/>
      <c r="AZ36" s="19">
        <v>3</v>
      </c>
      <c r="BA36" s="17">
        <f>((AV36*0.5*1150000)+(AW36*0.2*1150000)+(AX36*0.2*1150000)+(AY36*0.3*1150000))*AZ36</f>
        <v>2415000</v>
      </c>
      <c r="BB36" s="19"/>
      <c r="BC36" s="19"/>
      <c r="BD36" s="19"/>
      <c r="BE36" s="19"/>
      <c r="BF36" s="19"/>
      <c r="BG36" s="17">
        <f t="shared" si="34"/>
        <v>0</v>
      </c>
      <c r="BH36" s="18"/>
      <c r="BI36" s="18"/>
      <c r="BJ36" s="18"/>
      <c r="BK36" s="18"/>
      <c r="BL36" s="17">
        <f>(BH36*800000*BK36)+(BI36*6062500/2)+(BJ36*15000000)</f>
        <v>0</v>
      </c>
      <c r="BM36" s="19">
        <v>7</v>
      </c>
      <c r="BN36" s="19">
        <v>7</v>
      </c>
      <c r="BO36" s="19">
        <v>1</v>
      </c>
      <c r="BP36" s="19">
        <v>5</v>
      </c>
      <c r="BQ36" s="17">
        <f>(BM36*600000*BP36)+(BN36*3637500/2)+(BO36*7000000)</f>
        <v>40731250</v>
      </c>
      <c r="BR36" s="19"/>
      <c r="BS36" s="19"/>
      <c r="BT36" s="19"/>
      <c r="BU36" s="19"/>
      <c r="BV36" s="19"/>
      <c r="BW36" s="19"/>
      <c r="BX36" s="17">
        <f>(BR36*BW36*200000)+(BS36*BW36*100000)+(BT36*BW36*100000)+(BU36*BW36*300000)+(BV36*2500000/2)</f>
        <v>0</v>
      </c>
      <c r="BY36" s="18"/>
      <c r="BZ36" s="18"/>
      <c r="CA36" s="18"/>
      <c r="CB36" s="18"/>
      <c r="CC36" s="18"/>
      <c r="CD36" s="18"/>
      <c r="CE36" s="17">
        <f>(BY36*CD36*300000)+(BZ36*CD36*100000)+(CA36*CD36*100000)+(CB36*CD36*300000)+(CC36*1400000/2)</f>
        <v>0</v>
      </c>
      <c r="CF36" s="19"/>
      <c r="CG36" s="19"/>
      <c r="CH36" s="19"/>
      <c r="CI36" s="19"/>
      <c r="CJ36" s="19"/>
      <c r="CK36" s="19"/>
      <c r="CL36" s="17">
        <f t="shared" si="32"/>
        <v>0</v>
      </c>
      <c r="CM36" s="19"/>
      <c r="CN36" s="19"/>
      <c r="CO36" s="19"/>
      <c r="CP36" s="19"/>
      <c r="CQ36" s="19"/>
      <c r="CR36" s="19"/>
      <c r="CS36" s="17">
        <f>(CM36*CR36*300000)+(CN36*CR36*100000)+(CO36*CR36*100000)+(CP36*CR36*300000)+(CQ36*2200000/2)</f>
        <v>0</v>
      </c>
      <c r="CT36" s="19"/>
      <c r="CU36" s="19"/>
      <c r="CV36" s="19"/>
      <c r="CW36" s="19"/>
      <c r="CX36" s="19"/>
      <c r="CY36" s="19"/>
      <c r="CZ36" s="17">
        <f>(CT36*CY36*200000)+(CU36*CY36*100000)+(CV36*CY36*100000)+(CW36*CY36*300000)+(CX36*2500000/2)</f>
        <v>0</v>
      </c>
      <c r="DA36" s="19"/>
      <c r="DB36" s="19"/>
      <c r="DC36" s="19"/>
      <c r="DD36" s="19"/>
      <c r="DE36" s="19"/>
      <c r="DF36" s="19"/>
      <c r="DG36" s="17">
        <f>(DA36*DF36*300000)+(DB36*DF36*100000)+(DC36*DF36*100000)+(DD36*DF36*300000)+(DE36*2200000/2)</f>
        <v>0</v>
      </c>
      <c r="DH36" s="16"/>
      <c r="DI36" s="16"/>
    </row>
    <row r="37" spans="1:113" s="15" customFormat="1" ht="23.25" customHeight="1">
      <c r="A37" s="58">
        <v>3</v>
      </c>
      <c r="B37" s="59" t="s">
        <v>43</v>
      </c>
      <c r="C37" s="53">
        <f t="shared" si="33"/>
        <v>13975000</v>
      </c>
      <c r="D37" s="53">
        <v>5175000</v>
      </c>
      <c r="E37" s="53">
        <v>7000000</v>
      </c>
      <c r="F37" s="53">
        <v>1800000</v>
      </c>
      <c r="G37" s="60"/>
      <c r="I37" s="18"/>
      <c r="J37" s="18"/>
      <c r="K37" s="17">
        <f>I37*J37*(0.5*1150000)</f>
        <v>0</v>
      </c>
      <c r="L37" s="17"/>
      <c r="M37" s="17"/>
      <c r="N37" s="17">
        <f>L37*M37*(0.5*1150000)</f>
        <v>0</v>
      </c>
      <c r="O37" s="20"/>
      <c r="P37" s="20"/>
      <c r="Q37" s="17">
        <f>O37*P37*(0.5*1150000)</f>
        <v>0</v>
      </c>
      <c r="R37" s="19"/>
      <c r="S37" s="19"/>
      <c r="T37" s="17"/>
      <c r="U37" s="17"/>
      <c r="V37" s="17"/>
      <c r="W37" s="17">
        <f>U37*V37*100000</f>
        <v>0</v>
      </c>
      <c r="X37" s="19"/>
      <c r="Y37" s="19"/>
      <c r="Z37" s="17">
        <f>X37*Y37*(0.3*1150000)</f>
        <v>0</v>
      </c>
      <c r="AA37" s="18"/>
      <c r="AB37" s="18"/>
      <c r="AC37" s="17">
        <f>AA37*AB37*(0.3*1150000)</f>
        <v>0</v>
      </c>
      <c r="AD37" s="19"/>
      <c r="AE37" s="19"/>
      <c r="AF37" s="17">
        <f>AD37*AE37*(0.3*1150000)</f>
        <v>0</v>
      </c>
      <c r="AG37" s="19"/>
      <c r="AH37" s="19"/>
      <c r="AI37" s="17">
        <f>AG37*AH37*(0.3*1150000)</f>
        <v>0</v>
      </c>
      <c r="AJ37" s="18"/>
      <c r="AK37" s="18"/>
      <c r="AL37" s="18"/>
      <c r="AM37" s="18"/>
      <c r="AN37" s="18"/>
      <c r="AO37" s="17">
        <f>((AJ37*200000)+(AK37*100000)+(AL37*100000)+(AM37*300000))*AN37</f>
        <v>0</v>
      </c>
      <c r="AP37" s="18"/>
      <c r="AQ37" s="18"/>
      <c r="AR37" s="18"/>
      <c r="AS37" s="18"/>
      <c r="AT37" s="18"/>
      <c r="AU37" s="17">
        <f>((AP37*200000)+(AQ37*100000)+(AR37*100000)+(AS37*300000))*AT37</f>
        <v>0</v>
      </c>
      <c r="AV37" s="19">
        <v>1</v>
      </c>
      <c r="AW37" s="19">
        <v>1</v>
      </c>
      <c r="AX37" s="19"/>
      <c r="AY37" s="19"/>
      <c r="AZ37" s="19">
        <v>3</v>
      </c>
      <c r="BA37" s="17">
        <f>((AV37*0.5*1150000)+(AW37*0.2*1150000)+(AX37*0.2*1150000)+(AY37*0.3*1150000))*AZ37</f>
        <v>2415000</v>
      </c>
      <c r="BB37" s="19">
        <v>1</v>
      </c>
      <c r="BC37" s="19">
        <v>1</v>
      </c>
      <c r="BD37" s="19"/>
      <c r="BE37" s="19"/>
      <c r="BF37" s="19">
        <v>3</v>
      </c>
      <c r="BG37" s="17">
        <f t="shared" si="34"/>
        <v>2415000</v>
      </c>
      <c r="BH37" s="18"/>
      <c r="BI37" s="18"/>
      <c r="BJ37" s="18"/>
      <c r="BK37" s="18"/>
      <c r="BL37" s="17">
        <f>(BH37*800000*BK37)+(BI37*6062500/2)+(BJ37*15000000)</f>
        <v>0</v>
      </c>
      <c r="BM37" s="19"/>
      <c r="BN37" s="19"/>
      <c r="BO37" s="19"/>
      <c r="BP37" s="19"/>
      <c r="BQ37" s="17">
        <f>(BM37*600000*BP37)+(BN37*4125000/2)+(BO37*7000000)</f>
        <v>0</v>
      </c>
      <c r="BR37" s="19"/>
      <c r="BS37" s="19"/>
      <c r="BT37" s="19"/>
      <c r="BU37" s="19"/>
      <c r="BV37" s="19"/>
      <c r="BW37" s="19"/>
      <c r="BX37" s="17">
        <f>(BR37*BW37*300000)+(BS37*BW37*100000)+(BT37*BW37*100000)+(BU37*BW37*300000)+(BV37*2425000/2)</f>
        <v>0</v>
      </c>
      <c r="BY37" s="18"/>
      <c r="BZ37" s="18"/>
      <c r="CA37" s="18"/>
      <c r="CB37" s="18"/>
      <c r="CC37" s="18"/>
      <c r="CD37" s="18"/>
      <c r="CE37" s="17">
        <f>(BY37*CD37*300000)+(BZ37*CD37*100000)+(CA37*CD37*100000)+(CB37*CD37*300000)+(CC37*1400000/2)</f>
        <v>0</v>
      </c>
      <c r="CF37" s="19">
        <v>2</v>
      </c>
      <c r="CG37" s="19">
        <v>2</v>
      </c>
      <c r="CH37" s="19"/>
      <c r="CI37" s="19"/>
      <c r="CJ37" s="19">
        <v>2</v>
      </c>
      <c r="CK37" s="19">
        <v>2</v>
      </c>
      <c r="CL37" s="17">
        <f t="shared" si="32"/>
        <v>3600000</v>
      </c>
      <c r="CM37" s="19"/>
      <c r="CN37" s="19"/>
      <c r="CO37" s="19"/>
      <c r="CP37" s="19"/>
      <c r="CQ37" s="19"/>
      <c r="CR37" s="19"/>
      <c r="CS37" s="17">
        <f>(CM37*CR37*300000)+(CN37*CR37*100000)+(CO37*CR37*100000)+(CP37*CR37*300000)+(CQ37*2200000/2)</f>
        <v>0</v>
      </c>
      <c r="CT37" s="17"/>
      <c r="CU37" s="17"/>
      <c r="CV37" s="17"/>
      <c r="CW37" s="17"/>
      <c r="CX37" s="17"/>
      <c r="CY37" s="17"/>
      <c r="CZ37" s="17">
        <f>(CT37*CY37*200000)+(CU37*CY37*100000)+(CV37*CY37*100000)+(CW37*CY37*300000)+(CX37*2500000/2)</f>
        <v>0</v>
      </c>
      <c r="DA37" s="19"/>
      <c r="DB37" s="19"/>
      <c r="DC37" s="19"/>
      <c r="DD37" s="19"/>
      <c r="DE37" s="19"/>
      <c r="DF37" s="19"/>
      <c r="DG37" s="17">
        <f>(DA37*DF37*300000)+(DB37*DF37*100000)+(DC37*DF37*100000)+(DD37*DF37*300000)+(DE37*2200000/2)</f>
        <v>0</v>
      </c>
      <c r="DH37" s="16"/>
      <c r="DI37" s="16"/>
    </row>
    <row r="38" spans="1:113" s="15" customFormat="1" ht="23.25" customHeight="1">
      <c r="A38" s="58">
        <v>4</v>
      </c>
      <c r="B38" s="59" t="s">
        <v>24</v>
      </c>
      <c r="C38" s="53">
        <f t="shared" si="33"/>
        <v>9277500</v>
      </c>
      <c r="D38" s="53">
        <f>K38+N38+Q38+T38+W38+Z38+AC38+AF38+AI38+AO38+AU38+BA38+BG38</f>
        <v>2415000</v>
      </c>
      <c r="E38" s="53">
        <v>5062500</v>
      </c>
      <c r="F38" s="53">
        <v>1800000</v>
      </c>
      <c r="G38" s="60"/>
      <c r="I38" s="18"/>
      <c r="J38" s="18"/>
      <c r="K38" s="17"/>
      <c r="L38" s="17"/>
      <c r="M38" s="17"/>
      <c r="N38" s="17"/>
      <c r="O38" s="20"/>
      <c r="P38" s="20"/>
      <c r="Q38" s="17"/>
      <c r="R38" s="19"/>
      <c r="S38" s="19"/>
      <c r="T38" s="17"/>
      <c r="U38" s="17"/>
      <c r="V38" s="17"/>
      <c r="W38" s="17"/>
      <c r="X38" s="19"/>
      <c r="Y38" s="19"/>
      <c r="Z38" s="17"/>
      <c r="AA38" s="18"/>
      <c r="AB38" s="18"/>
      <c r="AC38" s="17"/>
      <c r="AD38" s="19"/>
      <c r="AE38" s="19"/>
      <c r="AF38" s="17"/>
      <c r="AG38" s="19"/>
      <c r="AH38" s="19"/>
      <c r="AI38" s="17"/>
      <c r="AJ38" s="18"/>
      <c r="AK38" s="18"/>
      <c r="AL38" s="18"/>
      <c r="AM38" s="18"/>
      <c r="AN38" s="18"/>
      <c r="AO38" s="17"/>
      <c r="AP38" s="18"/>
      <c r="AQ38" s="18"/>
      <c r="AR38" s="18"/>
      <c r="AS38" s="18"/>
      <c r="AT38" s="18"/>
      <c r="AU38" s="17"/>
      <c r="AV38" s="19"/>
      <c r="AW38" s="19"/>
      <c r="AX38" s="19"/>
      <c r="AY38" s="19"/>
      <c r="AZ38" s="19"/>
      <c r="BA38" s="17"/>
      <c r="BB38" s="19">
        <v>1</v>
      </c>
      <c r="BC38" s="19">
        <v>1</v>
      </c>
      <c r="BD38" s="19"/>
      <c r="BE38" s="19"/>
      <c r="BF38" s="19">
        <v>3</v>
      </c>
      <c r="BG38" s="17">
        <f t="shared" si="34"/>
        <v>2415000</v>
      </c>
      <c r="BH38" s="18"/>
      <c r="BI38" s="18"/>
      <c r="BJ38" s="18"/>
      <c r="BK38" s="18"/>
      <c r="BL38" s="17"/>
      <c r="BM38" s="19"/>
      <c r="BN38" s="19"/>
      <c r="BO38" s="19"/>
      <c r="BP38" s="19"/>
      <c r="BQ38" s="17">
        <f>(BM38*600000*BP38)+(BN38*4125000/2)+(BO38*7000000)</f>
        <v>0</v>
      </c>
      <c r="BR38" s="19"/>
      <c r="BS38" s="19"/>
      <c r="BT38" s="19"/>
      <c r="BU38" s="19"/>
      <c r="BV38" s="19"/>
      <c r="BW38" s="19"/>
      <c r="BX38" s="17"/>
      <c r="BY38" s="18"/>
      <c r="BZ38" s="18"/>
      <c r="CA38" s="18"/>
      <c r="CB38" s="18"/>
      <c r="CC38" s="18"/>
      <c r="CD38" s="18"/>
      <c r="CE38" s="17"/>
      <c r="CF38" s="19"/>
      <c r="CG38" s="19"/>
      <c r="CH38" s="19"/>
      <c r="CI38" s="19"/>
      <c r="CJ38" s="19"/>
      <c r="CK38" s="19"/>
      <c r="CL38" s="17">
        <f t="shared" si="32"/>
        <v>0</v>
      </c>
      <c r="CM38" s="19"/>
      <c r="CN38" s="19"/>
      <c r="CO38" s="19"/>
      <c r="CP38" s="19"/>
      <c r="CQ38" s="19"/>
      <c r="CR38" s="19"/>
      <c r="CS38" s="17"/>
      <c r="CT38" s="17"/>
      <c r="CU38" s="17"/>
      <c r="CV38" s="17"/>
      <c r="CW38" s="17"/>
      <c r="CX38" s="17"/>
      <c r="CY38" s="17"/>
      <c r="CZ38" s="17"/>
      <c r="DA38" s="19"/>
      <c r="DB38" s="19"/>
      <c r="DC38" s="19"/>
      <c r="DD38" s="19"/>
      <c r="DE38" s="19"/>
      <c r="DF38" s="19"/>
      <c r="DG38" s="17"/>
      <c r="DH38" s="16"/>
      <c r="DI38" s="16"/>
    </row>
    <row r="39" spans="1:113" s="15" customFormat="1" ht="23.25" customHeight="1">
      <c r="A39" s="58">
        <v>5</v>
      </c>
      <c r="B39" s="59" t="s">
        <v>25</v>
      </c>
      <c r="C39" s="53">
        <f t="shared" si="33"/>
        <v>4015000</v>
      </c>
      <c r="D39" s="53">
        <f>K39+N39+Q39+T39+W39+Z39+AC39+AF39+AI39+AO39+AU39+BA39+BG39</f>
        <v>2415000</v>
      </c>
      <c r="E39" s="53">
        <f>BL39+BQ39+BX39</f>
        <v>0</v>
      </c>
      <c r="F39" s="53">
        <v>1600000</v>
      </c>
      <c r="G39" s="60"/>
      <c r="I39" s="18"/>
      <c r="J39" s="18"/>
      <c r="K39" s="17"/>
      <c r="L39" s="17"/>
      <c r="M39" s="17"/>
      <c r="N39" s="17"/>
      <c r="O39" s="20"/>
      <c r="P39" s="20"/>
      <c r="Q39" s="17"/>
      <c r="R39" s="19"/>
      <c r="S39" s="19"/>
      <c r="T39" s="17"/>
      <c r="U39" s="17"/>
      <c r="V39" s="17"/>
      <c r="W39" s="17"/>
      <c r="X39" s="19"/>
      <c r="Y39" s="19"/>
      <c r="Z39" s="17"/>
      <c r="AA39" s="18"/>
      <c r="AB39" s="18"/>
      <c r="AC39" s="17"/>
      <c r="AD39" s="19"/>
      <c r="AE39" s="19"/>
      <c r="AF39" s="17"/>
      <c r="AG39" s="19"/>
      <c r="AH39" s="19"/>
      <c r="AI39" s="17"/>
      <c r="AJ39" s="18"/>
      <c r="AK39" s="18"/>
      <c r="AL39" s="18"/>
      <c r="AM39" s="18"/>
      <c r="AN39" s="18"/>
      <c r="AO39" s="17"/>
      <c r="AP39" s="18"/>
      <c r="AQ39" s="18"/>
      <c r="AR39" s="18"/>
      <c r="AS39" s="18"/>
      <c r="AT39" s="18"/>
      <c r="AU39" s="17"/>
      <c r="AV39" s="19"/>
      <c r="AW39" s="19"/>
      <c r="AX39" s="19"/>
      <c r="AY39" s="19"/>
      <c r="AZ39" s="19"/>
      <c r="BA39" s="17"/>
      <c r="BB39" s="19">
        <v>1</v>
      </c>
      <c r="BC39" s="19">
        <v>1</v>
      </c>
      <c r="BD39" s="19"/>
      <c r="BE39" s="19"/>
      <c r="BF39" s="19">
        <v>3</v>
      </c>
      <c r="BG39" s="17">
        <f t="shared" si="34"/>
        <v>2415000</v>
      </c>
      <c r="BH39" s="18"/>
      <c r="BI39" s="18"/>
      <c r="BJ39" s="18"/>
      <c r="BK39" s="18"/>
      <c r="BL39" s="17"/>
      <c r="BM39" s="19"/>
      <c r="BN39" s="19"/>
      <c r="BO39" s="19"/>
      <c r="BP39" s="19"/>
      <c r="BQ39" s="17">
        <f>(BM39*600000*BP39)+(BN39*4125000/2)+(BO39*7000000)</f>
        <v>0</v>
      </c>
      <c r="BR39" s="19"/>
      <c r="BS39" s="19"/>
      <c r="BT39" s="19"/>
      <c r="BU39" s="19"/>
      <c r="BV39" s="19"/>
      <c r="BW39" s="19"/>
      <c r="BX39" s="17"/>
      <c r="BY39" s="18"/>
      <c r="BZ39" s="18"/>
      <c r="CA39" s="18"/>
      <c r="CB39" s="18"/>
      <c r="CC39" s="18"/>
      <c r="CD39" s="18"/>
      <c r="CE39" s="17"/>
      <c r="CF39" s="19">
        <v>1</v>
      </c>
      <c r="CG39" s="19">
        <v>1</v>
      </c>
      <c r="CH39" s="19"/>
      <c r="CI39" s="19">
        <v>1</v>
      </c>
      <c r="CJ39" s="19">
        <v>1</v>
      </c>
      <c r="CK39" s="19">
        <v>2</v>
      </c>
      <c r="CL39" s="17">
        <f t="shared" si="32"/>
        <v>2400000</v>
      </c>
      <c r="CM39" s="19"/>
      <c r="CN39" s="19"/>
      <c r="CO39" s="19"/>
      <c r="CP39" s="19"/>
      <c r="CQ39" s="19"/>
      <c r="CR39" s="19"/>
      <c r="CS39" s="17"/>
      <c r="CT39" s="17"/>
      <c r="CU39" s="17"/>
      <c r="CV39" s="17"/>
      <c r="CW39" s="17"/>
      <c r="CX39" s="17"/>
      <c r="CY39" s="17"/>
      <c r="CZ39" s="17"/>
      <c r="DA39" s="19"/>
      <c r="DB39" s="19"/>
      <c r="DC39" s="19"/>
      <c r="DD39" s="19"/>
      <c r="DE39" s="19"/>
      <c r="DF39" s="19"/>
      <c r="DG39" s="17"/>
      <c r="DH39" s="16"/>
      <c r="DI39" s="16"/>
    </row>
    <row r="40" spans="1:113" s="15" customFormat="1" ht="23.25" customHeight="1">
      <c r="A40" s="61">
        <v>6</v>
      </c>
      <c r="B40" s="62" t="s">
        <v>26</v>
      </c>
      <c r="C40" s="57">
        <f t="shared" si="33"/>
        <v>30205000</v>
      </c>
      <c r="D40" s="57">
        <v>8280000</v>
      </c>
      <c r="E40" s="57">
        <v>17125000</v>
      </c>
      <c r="F40" s="57">
        <v>4800000</v>
      </c>
      <c r="G40" s="90"/>
      <c r="I40" s="18"/>
      <c r="J40" s="18"/>
      <c r="K40" s="17">
        <f>I40*J40*(0.5*1150000)</f>
        <v>0</v>
      </c>
      <c r="L40" s="17"/>
      <c r="M40" s="17"/>
      <c r="N40" s="17">
        <f>L40*M40*(0.5*1150000)</f>
        <v>0</v>
      </c>
      <c r="O40" s="20">
        <v>1</v>
      </c>
      <c r="P40" s="20">
        <v>5</v>
      </c>
      <c r="Q40" s="17">
        <f>O40*P40*(0.5*1150000)</f>
        <v>2875000</v>
      </c>
      <c r="R40" s="19"/>
      <c r="S40" s="19"/>
      <c r="T40" s="17">
        <f>R40*S40*100000</f>
        <v>0</v>
      </c>
      <c r="U40" s="17"/>
      <c r="V40" s="17"/>
      <c r="W40" s="17">
        <f>U40*V40*100000</f>
        <v>0</v>
      </c>
      <c r="X40" s="19"/>
      <c r="Y40" s="19"/>
      <c r="Z40" s="17">
        <f>X40*Y40*(0.3*1150000)</f>
        <v>0</v>
      </c>
      <c r="AA40" s="18"/>
      <c r="AB40" s="18"/>
      <c r="AC40" s="17">
        <f>AA40*AB40*(0.3*1150000)</f>
        <v>0</v>
      </c>
      <c r="AD40" s="19"/>
      <c r="AE40" s="19"/>
      <c r="AF40" s="17">
        <f>AD40*AE40*(0.3*1150000)</f>
        <v>0</v>
      </c>
      <c r="AG40" s="19">
        <v>1</v>
      </c>
      <c r="AH40" s="19">
        <v>5</v>
      </c>
      <c r="AI40" s="17">
        <f>AG40*AH40*(0.3*1150000)</f>
        <v>1725000</v>
      </c>
      <c r="AJ40" s="18"/>
      <c r="AK40" s="18"/>
      <c r="AL40" s="18"/>
      <c r="AM40" s="18"/>
      <c r="AN40" s="18"/>
      <c r="AO40" s="17">
        <f>((AJ40*200000)+(AK40*100000)+(AL40*100000)+(AM40*300000))*AN40</f>
        <v>0</v>
      </c>
      <c r="AP40" s="18"/>
      <c r="AQ40" s="18"/>
      <c r="AR40" s="18"/>
      <c r="AS40" s="18"/>
      <c r="AT40" s="18"/>
      <c r="AU40" s="17">
        <f>((AP40*200000)+(AQ40*100000)+(AR40*100000)+(AS40*300000))*AT40</f>
        <v>0</v>
      </c>
      <c r="AV40" s="19"/>
      <c r="AW40" s="19"/>
      <c r="AX40" s="19"/>
      <c r="AY40" s="19"/>
      <c r="AZ40" s="19"/>
      <c r="BA40" s="17">
        <f>((AV40*0.5*1150000)+(AW40*0.2*1150000)+(AX40*0.2*1150000)+(AY40*0.3*1150000))*AZ40</f>
        <v>0</v>
      </c>
      <c r="BB40" s="19">
        <v>2</v>
      </c>
      <c r="BC40" s="19">
        <v>1</v>
      </c>
      <c r="BD40" s="19"/>
      <c r="BE40" s="19"/>
      <c r="BF40" s="19">
        <v>3</v>
      </c>
      <c r="BG40" s="17">
        <f t="shared" si="34"/>
        <v>4140000</v>
      </c>
      <c r="BH40" s="18"/>
      <c r="BI40" s="18"/>
      <c r="BJ40" s="18"/>
      <c r="BK40" s="18"/>
      <c r="BL40" s="17">
        <f>(BH40*800000*BK40)+(BI40*6062500/2)+(BJ40*15000000)</f>
        <v>0</v>
      </c>
      <c r="BM40" s="19">
        <v>3</v>
      </c>
      <c r="BN40" s="19">
        <v>3</v>
      </c>
      <c r="BO40" s="19">
        <v>1</v>
      </c>
      <c r="BP40" s="19">
        <v>5</v>
      </c>
      <c r="BQ40" s="17">
        <f>(BM40*600000*BP40)+(BN40*3637500/2)+(BO40*7000000)</f>
        <v>21456250</v>
      </c>
      <c r="BR40" s="19"/>
      <c r="BS40" s="19"/>
      <c r="BT40" s="19"/>
      <c r="BU40" s="19"/>
      <c r="BV40" s="19"/>
      <c r="BW40" s="19"/>
      <c r="BX40" s="17">
        <f>(BR40*BW40*300000)+(BS40*BW40*100000)+(BT40*BW40*100000)+(BU40*BW40*300000)+(BV40*2425000/2)</f>
        <v>0</v>
      </c>
      <c r="BY40" s="18"/>
      <c r="BZ40" s="18"/>
      <c r="CA40" s="18"/>
      <c r="CB40" s="18"/>
      <c r="CC40" s="18"/>
      <c r="CD40" s="18"/>
      <c r="CE40" s="17">
        <f>(BY40*CD40*300000)+(BZ40*CD40*100000)+(CA40*CD40*100000)+(CB40*CD40*300000)+(CC40*1400000/2)</f>
        <v>0</v>
      </c>
      <c r="CF40" s="19">
        <v>1</v>
      </c>
      <c r="CG40" s="19"/>
      <c r="CH40" s="19"/>
      <c r="CI40" s="19"/>
      <c r="CJ40" s="19">
        <v>1</v>
      </c>
      <c r="CK40" s="19">
        <v>2</v>
      </c>
      <c r="CL40" s="17">
        <f t="shared" si="32"/>
        <v>1600000</v>
      </c>
      <c r="CM40" s="19"/>
      <c r="CN40" s="19"/>
      <c r="CO40" s="19"/>
      <c r="CP40" s="19"/>
      <c r="CQ40" s="19"/>
      <c r="CR40" s="19"/>
      <c r="CS40" s="17">
        <f>(CM40*CR40*300000)+(CN40*CR40*100000)+(CO40*CR40*100000)+(CP40*CR40*300000)+(CQ40*2200000/2)</f>
        <v>0</v>
      </c>
      <c r="CT40" s="17"/>
      <c r="CU40" s="17"/>
      <c r="CV40" s="17"/>
      <c r="CW40" s="17"/>
      <c r="CX40" s="17"/>
      <c r="CY40" s="17"/>
      <c r="CZ40" s="17">
        <f>(CT40*CY40*200000)+(CU40*CY40*100000)+(CV40*CY40*100000)+(CW40*CY40*300000)+(CX40*2500000/2)</f>
        <v>0</v>
      </c>
      <c r="DA40" s="19"/>
      <c r="DB40" s="19"/>
      <c r="DC40" s="19"/>
      <c r="DD40" s="19"/>
      <c r="DE40" s="19"/>
      <c r="DF40" s="19"/>
      <c r="DG40" s="17">
        <f>(DA40*DF40*300000)+(DB40*DF40*100000)+(DC40*DF40*100000)+(DD40*DF40*300000)+(DE40*2200000/2)</f>
        <v>0</v>
      </c>
      <c r="DH40" s="16"/>
      <c r="DI40" s="16"/>
    </row>
    <row r="41" spans="1:113" s="15" customFormat="1" ht="27" customHeight="1">
      <c r="A41" s="91" t="s">
        <v>116</v>
      </c>
      <c r="B41" s="92" t="s">
        <v>117</v>
      </c>
      <c r="C41" s="93">
        <f>SUM(C42:C68)</f>
        <v>159390000</v>
      </c>
      <c r="D41" s="93">
        <f>SUM(D42:D68)</f>
        <v>159390000</v>
      </c>
      <c r="E41" s="93">
        <f>SUM(E42:E68)</f>
        <v>0</v>
      </c>
      <c r="F41" s="93">
        <f>SUM(F42:F68)</f>
        <v>0</v>
      </c>
      <c r="G41" s="93"/>
      <c r="I41" s="18"/>
      <c r="J41" s="18"/>
      <c r="K41" s="17"/>
      <c r="L41" s="17"/>
      <c r="M41" s="17"/>
      <c r="N41" s="17"/>
      <c r="O41" s="17"/>
      <c r="P41" s="17"/>
      <c r="Q41" s="17">
        <f>O41*P41*(0.5*1150000)</f>
        <v>0</v>
      </c>
      <c r="R41" s="18"/>
      <c r="S41" s="18"/>
      <c r="T41" s="18"/>
      <c r="U41" s="18"/>
      <c r="V41" s="18"/>
      <c r="W41" s="17"/>
      <c r="X41" s="19"/>
      <c r="Y41" s="19"/>
      <c r="Z41" s="17"/>
      <c r="AA41" s="18"/>
      <c r="AB41" s="18"/>
      <c r="AC41" s="17"/>
      <c r="AD41" s="18"/>
      <c r="AE41" s="18"/>
      <c r="AF41" s="17"/>
      <c r="AG41" s="18"/>
      <c r="AH41" s="18"/>
      <c r="AI41" s="17">
        <f>AG41*AH41*(0.3*1150000)</f>
        <v>0</v>
      </c>
      <c r="AJ41" s="18"/>
      <c r="AK41" s="18"/>
      <c r="AL41" s="18"/>
      <c r="AM41" s="18"/>
      <c r="AN41" s="18"/>
      <c r="AO41" s="17">
        <f>((AJ41*200000)+(AK41*100000)+(AL41*100000)+(AM41*300000))*AN41</f>
        <v>0</v>
      </c>
      <c r="AP41" s="18"/>
      <c r="AQ41" s="18"/>
      <c r="AR41" s="18"/>
      <c r="AS41" s="18"/>
      <c r="AT41" s="18"/>
      <c r="AU41" s="17"/>
      <c r="AV41" s="18"/>
      <c r="AW41" s="18"/>
      <c r="AX41" s="18"/>
      <c r="AY41" s="18"/>
      <c r="AZ41" s="18"/>
      <c r="BA41" s="17"/>
      <c r="BB41" s="18"/>
      <c r="BC41" s="18"/>
      <c r="BD41" s="18"/>
      <c r="BE41" s="18"/>
      <c r="BF41" s="18"/>
      <c r="BG41" s="17">
        <f t="shared" si="34"/>
        <v>0</v>
      </c>
      <c r="BH41" s="18"/>
      <c r="BI41" s="18"/>
      <c r="BJ41" s="18"/>
      <c r="BK41" s="18"/>
      <c r="BL41" s="17"/>
      <c r="BM41" s="18"/>
      <c r="BN41" s="18"/>
      <c r="BO41" s="18"/>
      <c r="BP41" s="18"/>
      <c r="BQ41" s="17">
        <f aca="true" t="shared" si="35" ref="BQ41:BQ54">(BM41*600000*BP41)+(BN41*4125000/2)+(BO41*7000000)</f>
        <v>0</v>
      </c>
      <c r="BR41" s="18"/>
      <c r="BS41" s="18"/>
      <c r="BT41" s="18"/>
      <c r="BU41" s="18"/>
      <c r="BV41" s="18"/>
      <c r="BW41" s="18"/>
      <c r="BX41" s="17"/>
      <c r="BY41" s="18"/>
      <c r="BZ41" s="18"/>
      <c r="CA41" s="18"/>
      <c r="CB41" s="18"/>
      <c r="CC41" s="18"/>
      <c r="CD41" s="18"/>
      <c r="CE41" s="17"/>
      <c r="CF41" s="18"/>
      <c r="CG41" s="18"/>
      <c r="CH41" s="18"/>
      <c r="CI41" s="18"/>
      <c r="CJ41" s="18"/>
      <c r="CK41" s="18"/>
      <c r="CL41" s="17">
        <f t="shared" si="32"/>
        <v>0</v>
      </c>
      <c r="CM41" s="18"/>
      <c r="CN41" s="18"/>
      <c r="CO41" s="18"/>
      <c r="CP41" s="18"/>
      <c r="CQ41" s="18"/>
      <c r="CR41" s="18"/>
      <c r="CS41" s="17"/>
      <c r="CT41" s="17"/>
      <c r="CU41" s="17"/>
      <c r="CV41" s="17"/>
      <c r="CW41" s="17"/>
      <c r="CX41" s="17"/>
      <c r="CY41" s="17"/>
      <c r="CZ41" s="17">
        <f>(CT41*CY41*300000)+(CU41*CY41*100000)+(CV41*CY41*100000)+(CW41*CY41*300000)+(CX41*2200000/2)</f>
        <v>0</v>
      </c>
      <c r="DA41" s="18"/>
      <c r="DB41" s="18"/>
      <c r="DC41" s="18"/>
      <c r="DD41" s="18"/>
      <c r="DE41" s="18"/>
      <c r="DF41" s="18"/>
      <c r="DG41" s="17"/>
      <c r="DH41" s="16"/>
      <c r="DI41" s="16"/>
    </row>
    <row r="42" spans="1:113" s="15" customFormat="1" ht="21.75" customHeight="1">
      <c r="A42" s="94">
        <v>1</v>
      </c>
      <c r="B42" s="95" t="s">
        <v>41</v>
      </c>
      <c r="C42" s="96">
        <f>SUM(D42:F42)</f>
        <v>7820000</v>
      </c>
      <c r="D42" s="97">
        <v>7820000</v>
      </c>
      <c r="E42" s="97">
        <v>0</v>
      </c>
      <c r="F42" s="97">
        <v>0</v>
      </c>
      <c r="G42" s="97"/>
      <c r="I42" s="18"/>
      <c r="J42" s="18"/>
      <c r="K42" s="17">
        <f>I42*J42*(0.5*1150000)</f>
        <v>0</v>
      </c>
      <c r="L42" s="17"/>
      <c r="M42" s="17"/>
      <c r="N42" s="17">
        <f>L42*M42*(0.5*1150000)</f>
        <v>0</v>
      </c>
      <c r="O42" s="20">
        <v>1</v>
      </c>
      <c r="P42" s="20">
        <v>5</v>
      </c>
      <c r="Q42" s="17">
        <f>O42*P42*(0.5*1150000)</f>
        <v>2875000</v>
      </c>
      <c r="R42" s="19"/>
      <c r="S42" s="19"/>
      <c r="T42" s="17">
        <f>R42*S42*100000</f>
        <v>0</v>
      </c>
      <c r="U42" s="17"/>
      <c r="V42" s="17"/>
      <c r="W42" s="17">
        <f>U42*V42*100000</f>
        <v>0</v>
      </c>
      <c r="X42" s="19"/>
      <c r="Y42" s="19"/>
      <c r="Z42" s="17">
        <f>X42*Y42*(0.3*1150000)</f>
        <v>0</v>
      </c>
      <c r="AA42" s="18"/>
      <c r="AB42" s="18"/>
      <c r="AC42" s="17">
        <f>AA42*AB42*(0.3*1150000)</f>
        <v>0</v>
      </c>
      <c r="AD42" s="19"/>
      <c r="AE42" s="19"/>
      <c r="AF42" s="17">
        <f>AD42*AE42*(0.3*1150000)</f>
        <v>0</v>
      </c>
      <c r="AG42" s="19"/>
      <c r="AH42" s="19"/>
      <c r="AI42" s="17">
        <f>AG42*AH42*(0.3*1150000)</f>
        <v>0</v>
      </c>
      <c r="AJ42" s="18"/>
      <c r="AK42" s="18"/>
      <c r="AL42" s="18"/>
      <c r="AM42" s="18"/>
      <c r="AN42" s="18"/>
      <c r="AO42" s="17">
        <f>((AJ42*200000)+(AK42*100000)+(AL42*100000)+(AM42*300000))*AN42</f>
        <v>0</v>
      </c>
      <c r="AP42" s="19"/>
      <c r="AQ42" s="19"/>
      <c r="AR42" s="19"/>
      <c r="AS42" s="19"/>
      <c r="AT42" s="19"/>
      <c r="AU42" s="17">
        <f>((AP42*200000)+(AQ42*100000)+(AR42*100000)+(AS42*300000))*AT42</f>
        <v>0</v>
      </c>
      <c r="AV42" s="19">
        <v>1</v>
      </c>
      <c r="AW42" s="19"/>
      <c r="AX42" s="19"/>
      <c r="AY42" s="19"/>
      <c r="AZ42" s="19">
        <v>3</v>
      </c>
      <c r="BA42" s="17">
        <f>((AV42*0.5*1150000)+(AW42*0.2*1150000)+(AX42*0.2*1150000)+(AY42*0.3*1150000))*AZ42</f>
        <v>1725000</v>
      </c>
      <c r="BB42" s="22">
        <v>1</v>
      </c>
      <c r="BC42" s="22">
        <v>1</v>
      </c>
      <c r="BD42" s="22"/>
      <c r="BE42" s="22"/>
      <c r="BF42" s="22">
        <v>3</v>
      </c>
      <c r="BG42" s="21">
        <f t="shared" si="34"/>
        <v>2415000</v>
      </c>
      <c r="BH42" s="18"/>
      <c r="BI42" s="18"/>
      <c r="BJ42" s="18"/>
      <c r="BK42" s="18"/>
      <c r="BL42" s="17">
        <f>(BH42*800000*BK42)+(BI42*6062500/2)+(BJ42*15000000)</f>
        <v>0</v>
      </c>
      <c r="BM42" s="18"/>
      <c r="BN42" s="18"/>
      <c r="BO42" s="18"/>
      <c r="BP42" s="18"/>
      <c r="BQ42" s="17">
        <f t="shared" si="35"/>
        <v>0</v>
      </c>
      <c r="BR42" s="18"/>
      <c r="BS42" s="18"/>
      <c r="BT42" s="18"/>
      <c r="BU42" s="18"/>
      <c r="BV42" s="18"/>
      <c r="BW42" s="18"/>
      <c r="BX42" s="17">
        <f>(BR42*BW42*300000)+(BS42*BW42*100000)+(BT42*BW42*100000)+(BU42*BW42*300000)+(BV42*2425000/2)</f>
        <v>0</v>
      </c>
      <c r="BY42" s="18"/>
      <c r="BZ42" s="18"/>
      <c r="CA42" s="18"/>
      <c r="CB42" s="18"/>
      <c r="CC42" s="18"/>
      <c r="CD42" s="18"/>
      <c r="CE42" s="17">
        <f>(BY42*CD42*300000)+(BZ42*CD42*100000)+(CA42*CD42*100000)+(CB42*CD42*300000)+(CC42*1400000/2)</f>
        <v>0</v>
      </c>
      <c r="CF42" s="18"/>
      <c r="CG42" s="18"/>
      <c r="CH42" s="18"/>
      <c r="CI42" s="18"/>
      <c r="CJ42" s="18"/>
      <c r="CK42" s="18"/>
      <c r="CL42" s="17">
        <f t="shared" si="32"/>
        <v>0</v>
      </c>
      <c r="CM42" s="18"/>
      <c r="CN42" s="18"/>
      <c r="CO42" s="18"/>
      <c r="CP42" s="18"/>
      <c r="CQ42" s="18"/>
      <c r="CR42" s="18"/>
      <c r="CS42" s="17">
        <f>(CM42*CR42*300000)+(CN42*CR42*100000)+(CO42*CR42*100000)+(CP42*CR42*300000)+(CQ42*2200000/2)</f>
        <v>0</v>
      </c>
      <c r="CT42" s="17"/>
      <c r="CU42" s="17"/>
      <c r="CV42" s="17"/>
      <c r="CW42" s="17"/>
      <c r="CX42" s="17"/>
      <c r="CY42" s="17"/>
      <c r="CZ42" s="17">
        <f>(CT42*CY42*200000)+(CU42*CY42*100000)+(CV42*CY42*100000)+(CW42*CY42*300000)+(CX42*2500000/2)</f>
        <v>0</v>
      </c>
      <c r="DA42" s="18"/>
      <c r="DB42" s="18"/>
      <c r="DC42" s="18"/>
      <c r="DD42" s="18"/>
      <c r="DE42" s="18"/>
      <c r="DF42" s="18"/>
      <c r="DG42" s="17">
        <f>(DA42*DF42*300000)+(DB42*DF42*100000)+(DC42*DF42*100000)+(DD42*DF42*300000)+(DE42*2200000/2)</f>
        <v>0</v>
      </c>
      <c r="DH42" s="16"/>
      <c r="DI42" s="16"/>
    </row>
    <row r="43" spans="1:113" s="15" customFormat="1" ht="31.5" customHeight="1">
      <c r="A43" s="98">
        <v>2</v>
      </c>
      <c r="B43" s="59" t="s">
        <v>157</v>
      </c>
      <c r="C43" s="99">
        <f aca="true" t="shared" si="36" ref="C43:C68">SUM(D43:F43)</f>
        <v>4600000</v>
      </c>
      <c r="D43" s="100">
        <v>4600000</v>
      </c>
      <c r="E43" s="100">
        <v>0</v>
      </c>
      <c r="F43" s="100">
        <v>0</v>
      </c>
      <c r="G43" s="100"/>
      <c r="I43" s="18"/>
      <c r="J43" s="18"/>
      <c r="K43" s="17">
        <f>I43*J43*(0.5*1150000)</f>
        <v>0</v>
      </c>
      <c r="L43" s="17"/>
      <c r="M43" s="17"/>
      <c r="N43" s="17">
        <f>L43*M43*(0.5*1150000)</f>
        <v>0</v>
      </c>
      <c r="O43" s="20"/>
      <c r="P43" s="20"/>
      <c r="Q43" s="17">
        <f>O43*P43*(0.5*1150000)</f>
        <v>0</v>
      </c>
      <c r="R43" s="19"/>
      <c r="S43" s="19"/>
      <c r="T43" s="17">
        <f>R43*S43*100000</f>
        <v>0</v>
      </c>
      <c r="U43" s="17"/>
      <c r="V43" s="17"/>
      <c r="W43" s="17">
        <f>U43*V43*100000</f>
        <v>0</v>
      </c>
      <c r="X43" s="19"/>
      <c r="Y43" s="19"/>
      <c r="Z43" s="17">
        <f>X43*Y43*(0.3*1150000)</f>
        <v>0</v>
      </c>
      <c r="AA43" s="18"/>
      <c r="AB43" s="18"/>
      <c r="AC43" s="17">
        <f>AA43*AB43*(0.3*1150000)</f>
        <v>0</v>
      </c>
      <c r="AD43" s="19"/>
      <c r="AE43" s="19"/>
      <c r="AF43" s="17">
        <f>AD43*AE43*(0.3*1150000)</f>
        <v>0</v>
      </c>
      <c r="AG43" s="19"/>
      <c r="AH43" s="19"/>
      <c r="AI43" s="17">
        <f>AG43*AH43*(0.3*1150000)</f>
        <v>0</v>
      </c>
      <c r="AJ43" s="18"/>
      <c r="AK43" s="18"/>
      <c r="AL43" s="18"/>
      <c r="AM43" s="18"/>
      <c r="AN43" s="18"/>
      <c r="AO43" s="17">
        <f>((AJ43*200000)+(AK43*100000)+(AL43*100000)+(AM43*300000))*AN43</f>
        <v>0</v>
      </c>
      <c r="AP43" s="19"/>
      <c r="AQ43" s="19"/>
      <c r="AR43" s="19"/>
      <c r="AS43" s="19"/>
      <c r="AT43" s="19"/>
      <c r="AU43" s="17">
        <f>((AP43*200000)+(AQ43*100000)+(AR43*100000)+(AS43*300000))*AT43</f>
        <v>0</v>
      </c>
      <c r="AV43" s="19">
        <v>2</v>
      </c>
      <c r="AW43" s="19"/>
      <c r="AX43" s="19"/>
      <c r="AY43" s="19"/>
      <c r="AZ43" s="19">
        <v>3</v>
      </c>
      <c r="BA43" s="17">
        <f>((AV43*0.5*1150000)+(AW43*0.2*1150000)+(AX43*0.2*1150000)+(AY43*0.3*1150000))*AZ43</f>
        <v>3450000</v>
      </c>
      <c r="BB43" s="22">
        <v>1</v>
      </c>
      <c r="BC43" s="22"/>
      <c r="BD43" s="22"/>
      <c r="BE43" s="22"/>
      <c r="BF43" s="22">
        <v>3</v>
      </c>
      <c r="BG43" s="21">
        <f t="shared" si="34"/>
        <v>1725000</v>
      </c>
      <c r="BH43" s="18"/>
      <c r="BI43" s="18"/>
      <c r="BJ43" s="18"/>
      <c r="BK43" s="18"/>
      <c r="BL43" s="17">
        <f>(BH43*800000*BK43)+(BI43*6062500/2)+(BJ43*15000000)</f>
        <v>0</v>
      </c>
      <c r="BM43" s="18"/>
      <c r="BN43" s="18"/>
      <c r="BO43" s="18"/>
      <c r="BP43" s="18"/>
      <c r="BQ43" s="17">
        <f t="shared" si="35"/>
        <v>0</v>
      </c>
      <c r="BR43" s="18"/>
      <c r="BS43" s="18"/>
      <c r="BT43" s="18"/>
      <c r="BU43" s="18"/>
      <c r="BV43" s="18"/>
      <c r="BW43" s="18"/>
      <c r="BX43" s="17">
        <f>(BR43*BW43*300000)+(BS43*BW43*100000)+(BT43*BW43*100000)+(BU43*BW43*300000)+(BV43*2425000/2)</f>
        <v>0</v>
      </c>
      <c r="BY43" s="18"/>
      <c r="BZ43" s="18"/>
      <c r="CA43" s="18"/>
      <c r="CB43" s="18"/>
      <c r="CC43" s="18"/>
      <c r="CD43" s="18"/>
      <c r="CE43" s="17">
        <f>(BY43*CD43*300000)+(BZ43*CD43*100000)+(CA43*CD43*100000)+(CB43*CD43*300000)+(CC43*1400000/2)</f>
        <v>0</v>
      </c>
      <c r="CF43" s="18"/>
      <c r="CG43" s="18"/>
      <c r="CH43" s="18"/>
      <c r="CI43" s="18"/>
      <c r="CJ43" s="18"/>
      <c r="CK43" s="18"/>
      <c r="CL43" s="17">
        <f t="shared" si="32"/>
        <v>0</v>
      </c>
      <c r="CM43" s="18"/>
      <c r="CN43" s="18"/>
      <c r="CO43" s="18"/>
      <c r="CP43" s="18"/>
      <c r="CQ43" s="18"/>
      <c r="CR43" s="18"/>
      <c r="CS43" s="17">
        <f>(CM43*CR43*300000)+(CN43*CR43*100000)+(CO43*CR43*100000)+(CP43*CR43*300000)+(CQ43*2200000/2)</f>
        <v>0</v>
      </c>
      <c r="CT43" s="17"/>
      <c r="CU43" s="17"/>
      <c r="CV43" s="17"/>
      <c r="CW43" s="17"/>
      <c r="CX43" s="17"/>
      <c r="CY43" s="17"/>
      <c r="CZ43" s="17">
        <f>(CT43*CY43*200000)+(CU43*CY43*100000)+(CV43*CY43*100000)+(CW43*CY43*300000)+(CX43*2500000/2)</f>
        <v>0</v>
      </c>
      <c r="DA43" s="18"/>
      <c r="DB43" s="18"/>
      <c r="DC43" s="18"/>
      <c r="DD43" s="18"/>
      <c r="DE43" s="18"/>
      <c r="DF43" s="18"/>
      <c r="DG43" s="17">
        <f>(DA43*DF43*300000)+(DB43*DF43*100000)+(DC43*DF43*100000)+(DD43*DF43*300000)+(DE43*2200000/2)</f>
        <v>0</v>
      </c>
      <c r="DH43" s="16"/>
      <c r="DI43" s="16"/>
    </row>
    <row r="44" spans="1:113" s="15" customFormat="1" ht="21.75" customHeight="1">
      <c r="A44" s="98">
        <v>3</v>
      </c>
      <c r="B44" s="59" t="s">
        <v>156</v>
      </c>
      <c r="C44" s="99">
        <f t="shared" si="36"/>
        <v>5750000</v>
      </c>
      <c r="D44" s="100">
        <v>5750000</v>
      </c>
      <c r="E44" s="100">
        <v>0</v>
      </c>
      <c r="F44" s="100">
        <v>0</v>
      </c>
      <c r="G44" s="100"/>
      <c r="I44" s="18"/>
      <c r="J44" s="18"/>
      <c r="K44" s="17">
        <f>I44*J44*(0.5*1150000)</f>
        <v>0</v>
      </c>
      <c r="L44" s="17"/>
      <c r="M44" s="17"/>
      <c r="N44" s="17">
        <f>L44*M44*(0.5*1150000)</f>
        <v>0</v>
      </c>
      <c r="O44" s="20"/>
      <c r="P44" s="20"/>
      <c r="Q44" s="17">
        <f>O44*P44*(0.5*1150000)</f>
        <v>0</v>
      </c>
      <c r="R44" s="19"/>
      <c r="S44" s="19"/>
      <c r="T44" s="17">
        <f>R44*S44*100000</f>
        <v>0</v>
      </c>
      <c r="U44" s="17"/>
      <c r="V44" s="17"/>
      <c r="W44" s="17">
        <f>U44*V44*100000</f>
        <v>0</v>
      </c>
      <c r="X44" s="19"/>
      <c r="Y44" s="19"/>
      <c r="Z44" s="17">
        <f>X44*Y44*(0.3*1150000)</f>
        <v>0</v>
      </c>
      <c r="AA44" s="18"/>
      <c r="AB44" s="18"/>
      <c r="AC44" s="17">
        <f>AA44*AB44*(0.3*1150000)</f>
        <v>0</v>
      </c>
      <c r="AD44" s="19"/>
      <c r="AE44" s="19"/>
      <c r="AF44" s="17">
        <f>AD44*AE44*(0.3*1150000)</f>
        <v>0</v>
      </c>
      <c r="AG44" s="19">
        <v>1</v>
      </c>
      <c r="AH44" s="19">
        <v>5</v>
      </c>
      <c r="AI44" s="17">
        <f>AG44*AH44*(0.3*1150000)</f>
        <v>1725000</v>
      </c>
      <c r="AJ44" s="18"/>
      <c r="AK44" s="18"/>
      <c r="AL44" s="18"/>
      <c r="AM44" s="18"/>
      <c r="AN44" s="18"/>
      <c r="AO44" s="17">
        <f>((AJ44*200000)+(AK44*100000)+(AL44*100000)+(AM44*300000))*AN44</f>
        <v>0</v>
      </c>
      <c r="AP44" s="19"/>
      <c r="AQ44" s="19"/>
      <c r="AR44" s="19"/>
      <c r="AS44" s="19"/>
      <c r="AT44" s="19"/>
      <c r="AU44" s="17">
        <f>((AP44*200000)+(AQ44*100000)+(AR44*100000)+(AS44*300000))*AT44</f>
        <v>0</v>
      </c>
      <c r="AV44" s="19">
        <v>1</v>
      </c>
      <c r="AW44" s="19"/>
      <c r="AX44" s="19"/>
      <c r="AY44" s="19"/>
      <c r="AZ44" s="19">
        <v>3</v>
      </c>
      <c r="BA44" s="17">
        <f>((AV44*0.5*1150000)+(AW44*0.2*1150000)+(AX44*0.2*1150000)+(AY44*0.3*1150000))*AZ44</f>
        <v>1725000</v>
      </c>
      <c r="BB44" s="22">
        <v>1</v>
      </c>
      <c r="BC44" s="22"/>
      <c r="BD44" s="22"/>
      <c r="BE44" s="22"/>
      <c r="BF44" s="22">
        <v>3</v>
      </c>
      <c r="BG44" s="21">
        <f t="shared" si="34"/>
        <v>1725000</v>
      </c>
      <c r="BH44" s="18"/>
      <c r="BI44" s="18"/>
      <c r="BJ44" s="18"/>
      <c r="BK44" s="18"/>
      <c r="BL44" s="17">
        <f>(BH44*800000*BK44)+(BI44*6062500/2)+(BJ44*15000000)</f>
        <v>0</v>
      </c>
      <c r="BM44" s="18"/>
      <c r="BN44" s="18"/>
      <c r="BO44" s="18"/>
      <c r="BP44" s="18"/>
      <c r="BQ44" s="17">
        <f t="shared" si="35"/>
        <v>0</v>
      </c>
      <c r="BR44" s="18"/>
      <c r="BS44" s="18"/>
      <c r="BT44" s="18"/>
      <c r="BU44" s="18"/>
      <c r="BV44" s="18"/>
      <c r="BW44" s="18"/>
      <c r="BX44" s="17">
        <f>(BR44*BW44*300000)+(BS44*BW44*100000)+(BT44*BW44*100000)+(BU44*BW44*300000)+(BV44*2425000/2)</f>
        <v>0</v>
      </c>
      <c r="BY44" s="18"/>
      <c r="BZ44" s="18"/>
      <c r="CA44" s="18"/>
      <c r="CB44" s="18"/>
      <c r="CC44" s="18"/>
      <c r="CD44" s="18"/>
      <c r="CE44" s="17">
        <f>(BY44*CD44*300000)+(BZ44*CD44*100000)+(CA44*CD44*100000)+(CB44*CD44*300000)+(CC44*1400000/2)</f>
        <v>0</v>
      </c>
      <c r="CF44" s="18"/>
      <c r="CG44" s="18"/>
      <c r="CH44" s="18"/>
      <c r="CI44" s="18"/>
      <c r="CJ44" s="18"/>
      <c r="CK44" s="18"/>
      <c r="CL44" s="17">
        <f t="shared" si="32"/>
        <v>0</v>
      </c>
      <c r="CM44" s="18"/>
      <c r="CN44" s="18"/>
      <c r="CO44" s="18"/>
      <c r="CP44" s="18"/>
      <c r="CQ44" s="18"/>
      <c r="CR44" s="18"/>
      <c r="CS44" s="17">
        <f>(CM44*CR44*300000)+(CN44*CR44*100000)+(CO44*CR44*100000)+(CP44*CR44*300000)+(CQ44*2200000/2)</f>
        <v>0</v>
      </c>
      <c r="CT44" s="17"/>
      <c r="CU44" s="17"/>
      <c r="CV44" s="17"/>
      <c r="CW44" s="17"/>
      <c r="CX44" s="17"/>
      <c r="CY44" s="17"/>
      <c r="CZ44" s="17">
        <f>(CT44*CY44*200000)+(CU44*CY44*100000)+(CV44*CY44*100000)+(CW44*CY44*300000)+(CX44*2500000/2)</f>
        <v>0</v>
      </c>
      <c r="DA44" s="18"/>
      <c r="DB44" s="18"/>
      <c r="DC44" s="18"/>
      <c r="DD44" s="18"/>
      <c r="DE44" s="18"/>
      <c r="DF44" s="18"/>
      <c r="DG44" s="17">
        <f>(DA44*DF44*300000)+(DB44*DF44*100000)+(DC44*DF44*100000)+(DD44*DF44*300000)+(DE44*2200000/2)</f>
        <v>0</v>
      </c>
      <c r="DH44" s="16"/>
      <c r="DI44" s="16"/>
    </row>
    <row r="45" spans="1:113" s="15" customFormat="1" ht="21.75" customHeight="1">
      <c r="A45" s="98">
        <v>4</v>
      </c>
      <c r="B45" s="101" t="s">
        <v>27</v>
      </c>
      <c r="C45" s="99">
        <f t="shared" si="36"/>
        <v>6555000</v>
      </c>
      <c r="D45" s="100">
        <v>6555000</v>
      </c>
      <c r="E45" s="100">
        <v>0</v>
      </c>
      <c r="F45" s="100">
        <v>0</v>
      </c>
      <c r="G45" s="100"/>
      <c r="I45" s="18"/>
      <c r="J45" s="18"/>
      <c r="K45" s="17"/>
      <c r="L45" s="17"/>
      <c r="M45" s="17"/>
      <c r="N45" s="17"/>
      <c r="O45" s="20"/>
      <c r="P45" s="20"/>
      <c r="Q45" s="17"/>
      <c r="R45" s="19"/>
      <c r="S45" s="19"/>
      <c r="T45" s="17"/>
      <c r="U45" s="17"/>
      <c r="V45" s="17"/>
      <c r="W45" s="17"/>
      <c r="X45" s="19"/>
      <c r="Y45" s="19"/>
      <c r="Z45" s="17"/>
      <c r="AA45" s="18"/>
      <c r="AB45" s="18"/>
      <c r="AC45" s="17"/>
      <c r="AD45" s="19"/>
      <c r="AE45" s="19"/>
      <c r="AF45" s="17"/>
      <c r="AG45" s="19"/>
      <c r="AH45" s="19"/>
      <c r="AI45" s="17"/>
      <c r="AJ45" s="18"/>
      <c r="AK45" s="18"/>
      <c r="AL45" s="18"/>
      <c r="AM45" s="18"/>
      <c r="AN45" s="18"/>
      <c r="AO45" s="17"/>
      <c r="AP45" s="19"/>
      <c r="AQ45" s="19"/>
      <c r="AR45" s="19"/>
      <c r="AS45" s="19"/>
      <c r="AT45" s="19"/>
      <c r="AU45" s="17"/>
      <c r="AV45" s="19"/>
      <c r="AW45" s="19"/>
      <c r="AX45" s="19"/>
      <c r="AY45" s="19"/>
      <c r="AZ45" s="19"/>
      <c r="BA45" s="17"/>
      <c r="BB45" s="22">
        <v>1</v>
      </c>
      <c r="BC45" s="22"/>
      <c r="BD45" s="22"/>
      <c r="BE45" s="22"/>
      <c r="BF45" s="22">
        <v>3</v>
      </c>
      <c r="BG45" s="21">
        <f t="shared" si="34"/>
        <v>1725000</v>
      </c>
      <c r="BH45" s="18"/>
      <c r="BI45" s="18"/>
      <c r="BJ45" s="18"/>
      <c r="BK45" s="18"/>
      <c r="BL45" s="17"/>
      <c r="BM45" s="18"/>
      <c r="BN45" s="18"/>
      <c r="BO45" s="18"/>
      <c r="BP45" s="18"/>
      <c r="BQ45" s="17">
        <f t="shared" si="35"/>
        <v>0</v>
      </c>
      <c r="BR45" s="18"/>
      <c r="BS45" s="18"/>
      <c r="BT45" s="18"/>
      <c r="BU45" s="18"/>
      <c r="BV45" s="18"/>
      <c r="BW45" s="18"/>
      <c r="BX45" s="17"/>
      <c r="BY45" s="18"/>
      <c r="BZ45" s="18"/>
      <c r="CA45" s="18"/>
      <c r="CB45" s="18"/>
      <c r="CC45" s="18"/>
      <c r="CD45" s="18"/>
      <c r="CE45" s="17"/>
      <c r="CF45" s="18"/>
      <c r="CG45" s="18"/>
      <c r="CH45" s="18"/>
      <c r="CI45" s="18"/>
      <c r="CJ45" s="18"/>
      <c r="CK45" s="18"/>
      <c r="CL45" s="17">
        <f t="shared" si="32"/>
        <v>0</v>
      </c>
      <c r="CM45" s="18"/>
      <c r="CN45" s="18"/>
      <c r="CO45" s="18"/>
      <c r="CP45" s="18"/>
      <c r="CQ45" s="18"/>
      <c r="CR45" s="18"/>
      <c r="CS45" s="17"/>
      <c r="CT45" s="17"/>
      <c r="CU45" s="17"/>
      <c r="CV45" s="17"/>
      <c r="CW45" s="17"/>
      <c r="CX45" s="17"/>
      <c r="CY45" s="17"/>
      <c r="CZ45" s="17"/>
      <c r="DA45" s="18"/>
      <c r="DB45" s="18"/>
      <c r="DC45" s="18"/>
      <c r="DD45" s="18"/>
      <c r="DE45" s="18"/>
      <c r="DF45" s="18"/>
      <c r="DG45" s="17"/>
      <c r="DH45" s="16"/>
      <c r="DI45" s="16"/>
    </row>
    <row r="46" spans="1:113" s="15" customFormat="1" ht="21.75" customHeight="1">
      <c r="A46" s="98">
        <v>5</v>
      </c>
      <c r="B46" s="101" t="s">
        <v>147</v>
      </c>
      <c r="C46" s="99">
        <f t="shared" si="36"/>
        <v>7360000</v>
      </c>
      <c r="D46" s="100">
        <v>7360000</v>
      </c>
      <c r="E46" s="100">
        <v>0</v>
      </c>
      <c r="F46" s="100">
        <v>0</v>
      </c>
      <c r="G46" s="100"/>
      <c r="I46" s="18"/>
      <c r="J46" s="18"/>
      <c r="K46" s="17">
        <f>I46*J46*(0.5*1150000)</f>
        <v>0</v>
      </c>
      <c r="L46" s="17"/>
      <c r="M46" s="17"/>
      <c r="N46" s="17">
        <f>L46*M46*(0.5*1150000)</f>
        <v>0</v>
      </c>
      <c r="O46" s="20"/>
      <c r="P46" s="20"/>
      <c r="Q46" s="17">
        <f>O46*P46*(0.5*1150000)</f>
        <v>0</v>
      </c>
      <c r="R46" s="19"/>
      <c r="S46" s="19"/>
      <c r="T46" s="17">
        <f>R46*S46*100000</f>
        <v>0</v>
      </c>
      <c r="U46" s="17"/>
      <c r="V46" s="17"/>
      <c r="W46" s="17">
        <f>U46*V46*100000</f>
        <v>0</v>
      </c>
      <c r="X46" s="19"/>
      <c r="Y46" s="19"/>
      <c r="Z46" s="17">
        <f aca="true" t="shared" si="37" ref="Z46:Z54">X46*Y46*(0.3*1150000)</f>
        <v>0</v>
      </c>
      <c r="AA46" s="18"/>
      <c r="AB46" s="18"/>
      <c r="AC46" s="17">
        <f>AA46*AB46*(0.3*1150000)</f>
        <v>0</v>
      </c>
      <c r="AD46" s="19"/>
      <c r="AE46" s="19"/>
      <c r="AF46" s="17">
        <f>AD46*AE46*(0.3*1150000)</f>
        <v>0</v>
      </c>
      <c r="AG46" s="19"/>
      <c r="AH46" s="19"/>
      <c r="AI46" s="17">
        <f aca="true" t="shared" si="38" ref="AI46:AI54">AG46*AH46*(0.3*1150000)</f>
        <v>0</v>
      </c>
      <c r="AJ46" s="18"/>
      <c r="AK46" s="18"/>
      <c r="AL46" s="18"/>
      <c r="AM46" s="18"/>
      <c r="AN46" s="18"/>
      <c r="AO46" s="17">
        <f>((AJ46*200000)+(AK46*100000)+(AL46*100000)+(AM46*300000))*AN46</f>
        <v>0</v>
      </c>
      <c r="AP46" s="19"/>
      <c r="AQ46" s="19"/>
      <c r="AR46" s="19"/>
      <c r="AS46" s="19"/>
      <c r="AT46" s="19"/>
      <c r="AU46" s="17">
        <f>((AP46*200000)+(AQ46*100000)+(AR46*100000)+(AS46*300000))*AT46</f>
        <v>0</v>
      </c>
      <c r="AV46" s="19">
        <v>1</v>
      </c>
      <c r="AW46" s="19">
        <v>1</v>
      </c>
      <c r="AX46" s="19"/>
      <c r="AY46" s="19"/>
      <c r="AZ46" s="19">
        <v>3</v>
      </c>
      <c r="BA46" s="17">
        <f>((AV46*0.5*1150000)+(AW46*0.2*1150000)+(AX46*0.2*1150000)+(AY46*0.3*1150000))*AZ46</f>
        <v>2415000</v>
      </c>
      <c r="BB46" s="22"/>
      <c r="BC46" s="22"/>
      <c r="BD46" s="22"/>
      <c r="BE46" s="22"/>
      <c r="BF46" s="22"/>
      <c r="BG46" s="21">
        <f t="shared" si="34"/>
        <v>0</v>
      </c>
      <c r="BH46" s="18"/>
      <c r="BI46" s="18"/>
      <c r="BJ46" s="18"/>
      <c r="BK46" s="18"/>
      <c r="BL46" s="17">
        <f>(BH46*800000*BK46)+(BI46*6062500/2)+(BJ46*15000000)</f>
        <v>0</v>
      </c>
      <c r="BM46" s="18"/>
      <c r="BN46" s="18"/>
      <c r="BO46" s="18"/>
      <c r="BP46" s="18"/>
      <c r="BQ46" s="17">
        <f t="shared" si="35"/>
        <v>0</v>
      </c>
      <c r="BR46" s="18"/>
      <c r="BS46" s="18"/>
      <c r="BT46" s="18"/>
      <c r="BU46" s="18"/>
      <c r="BV46" s="18"/>
      <c r="BW46" s="18"/>
      <c r="BX46" s="17">
        <f>(BR46*BW46*300000)+(BS46*BW46*100000)+(BT46*BW46*100000)+(BU46*BW46*300000)+(BV46*2425000/2)</f>
        <v>0</v>
      </c>
      <c r="BY46" s="18"/>
      <c r="BZ46" s="18"/>
      <c r="CA46" s="18"/>
      <c r="CB46" s="18"/>
      <c r="CC46" s="18"/>
      <c r="CD46" s="18"/>
      <c r="CE46" s="17">
        <f>(BY46*CD46*300000)+(BZ46*CD46*100000)+(CA46*CD46*100000)+(CB46*CD46*300000)+(CC46*1400000/2)</f>
        <v>0</v>
      </c>
      <c r="CF46" s="18"/>
      <c r="CG46" s="18"/>
      <c r="CH46" s="18"/>
      <c r="CI46" s="18"/>
      <c r="CJ46" s="18"/>
      <c r="CK46" s="18"/>
      <c r="CL46" s="17">
        <f t="shared" si="32"/>
        <v>0</v>
      </c>
      <c r="CM46" s="18"/>
      <c r="CN46" s="18"/>
      <c r="CO46" s="18"/>
      <c r="CP46" s="18"/>
      <c r="CQ46" s="18"/>
      <c r="CR46" s="18"/>
      <c r="CS46" s="17">
        <f>(CM46*CR46*300000)+(CN46*CR46*100000)+(CO46*CR46*100000)+(CP46*CR46*300000)+(CQ46*2200000/2)</f>
        <v>0</v>
      </c>
      <c r="CT46" s="17"/>
      <c r="CU46" s="17"/>
      <c r="CV46" s="17"/>
      <c r="CW46" s="17"/>
      <c r="CX46" s="17"/>
      <c r="CY46" s="17"/>
      <c r="CZ46" s="17">
        <f>(CT46*CY46*200000)+(CU46*CY46*100000)+(CV46*CY46*100000)+(CW46*CY46*300000)+(CX46*2500000/2)</f>
        <v>0</v>
      </c>
      <c r="DA46" s="18"/>
      <c r="DB46" s="18"/>
      <c r="DC46" s="18"/>
      <c r="DD46" s="18"/>
      <c r="DE46" s="18"/>
      <c r="DF46" s="18"/>
      <c r="DG46" s="17">
        <f>(DA46*DF46*300000)+(DB46*DF46*100000)+(DC46*DF46*100000)+(DD46*DF46*300000)+(DE46*2200000/2)</f>
        <v>0</v>
      </c>
      <c r="DH46" s="16"/>
      <c r="DI46" s="16"/>
    </row>
    <row r="47" spans="1:113" s="15" customFormat="1" ht="21.75" customHeight="1">
      <c r="A47" s="98">
        <v>6</v>
      </c>
      <c r="B47" s="59" t="s">
        <v>40</v>
      </c>
      <c r="C47" s="99">
        <f t="shared" si="36"/>
        <v>4830000</v>
      </c>
      <c r="D47" s="100">
        <v>4830000</v>
      </c>
      <c r="E47" s="100">
        <v>0</v>
      </c>
      <c r="F47" s="100">
        <v>0</v>
      </c>
      <c r="G47" s="100"/>
      <c r="I47" s="18"/>
      <c r="J47" s="18"/>
      <c r="K47" s="17"/>
      <c r="L47" s="17"/>
      <c r="M47" s="17"/>
      <c r="N47" s="17"/>
      <c r="O47" s="20"/>
      <c r="P47" s="20"/>
      <c r="Q47" s="17"/>
      <c r="R47" s="19"/>
      <c r="S47" s="19"/>
      <c r="T47" s="17"/>
      <c r="U47" s="17"/>
      <c r="V47" s="17"/>
      <c r="W47" s="17"/>
      <c r="X47" s="19">
        <v>1</v>
      </c>
      <c r="Y47" s="19">
        <v>5</v>
      </c>
      <c r="Z47" s="17">
        <f t="shared" si="37"/>
        <v>1725000</v>
      </c>
      <c r="AA47" s="18"/>
      <c r="AB47" s="18"/>
      <c r="AC47" s="17"/>
      <c r="AD47" s="19"/>
      <c r="AE47" s="19"/>
      <c r="AF47" s="17"/>
      <c r="AG47" s="19">
        <v>1</v>
      </c>
      <c r="AH47" s="19">
        <v>5</v>
      </c>
      <c r="AI47" s="17">
        <f t="shared" si="38"/>
        <v>1725000</v>
      </c>
      <c r="AJ47" s="18"/>
      <c r="AK47" s="18"/>
      <c r="AL47" s="18"/>
      <c r="AM47" s="18"/>
      <c r="AN47" s="18"/>
      <c r="AO47" s="17"/>
      <c r="AP47" s="19"/>
      <c r="AQ47" s="19"/>
      <c r="AR47" s="19"/>
      <c r="AS47" s="19"/>
      <c r="AT47" s="19"/>
      <c r="AU47" s="17"/>
      <c r="AV47" s="19">
        <v>2</v>
      </c>
      <c r="AW47" s="19"/>
      <c r="AX47" s="19"/>
      <c r="AY47" s="19"/>
      <c r="AZ47" s="19">
        <v>3</v>
      </c>
      <c r="BA47" s="17">
        <f>((AV47*0.5*1150000)+(AW47*0.2*1150000)+(AX47*0.2*1150000)+(AY47*0.3*1150000))*AZ47+1150000+1150000</f>
        <v>5750000</v>
      </c>
      <c r="BB47" s="22">
        <v>1</v>
      </c>
      <c r="BC47" s="22"/>
      <c r="BD47" s="22"/>
      <c r="BE47" s="22"/>
      <c r="BF47" s="22">
        <v>3</v>
      </c>
      <c r="BG47" s="21">
        <f t="shared" si="34"/>
        <v>1725000</v>
      </c>
      <c r="BH47" s="18"/>
      <c r="BI47" s="18"/>
      <c r="BJ47" s="18"/>
      <c r="BK47" s="18"/>
      <c r="BL47" s="17"/>
      <c r="BM47" s="18"/>
      <c r="BN47" s="18"/>
      <c r="BO47" s="18"/>
      <c r="BP47" s="18"/>
      <c r="BQ47" s="17">
        <f t="shared" si="35"/>
        <v>0</v>
      </c>
      <c r="BR47" s="18"/>
      <c r="BS47" s="18"/>
      <c r="BT47" s="18"/>
      <c r="BU47" s="18"/>
      <c r="BV47" s="18"/>
      <c r="BW47" s="18"/>
      <c r="BX47" s="17"/>
      <c r="BY47" s="18"/>
      <c r="BZ47" s="18"/>
      <c r="CA47" s="18"/>
      <c r="CB47" s="18"/>
      <c r="CC47" s="18"/>
      <c r="CD47" s="18"/>
      <c r="CE47" s="17"/>
      <c r="CF47" s="18"/>
      <c r="CG47" s="18"/>
      <c r="CH47" s="18"/>
      <c r="CI47" s="18"/>
      <c r="CJ47" s="18"/>
      <c r="CK47" s="18"/>
      <c r="CL47" s="17">
        <f t="shared" si="32"/>
        <v>0</v>
      </c>
      <c r="CM47" s="18"/>
      <c r="CN47" s="18"/>
      <c r="CO47" s="18"/>
      <c r="CP47" s="18"/>
      <c r="CQ47" s="18"/>
      <c r="CR47" s="18"/>
      <c r="CS47" s="17"/>
      <c r="CT47" s="17"/>
      <c r="CU47" s="17"/>
      <c r="CV47" s="17"/>
      <c r="CW47" s="17"/>
      <c r="CX47" s="17"/>
      <c r="CY47" s="17"/>
      <c r="CZ47" s="17"/>
      <c r="DA47" s="18"/>
      <c r="DB47" s="18"/>
      <c r="DC47" s="18"/>
      <c r="DD47" s="18"/>
      <c r="DE47" s="18"/>
      <c r="DF47" s="18"/>
      <c r="DG47" s="17"/>
      <c r="DH47" s="16"/>
      <c r="DI47" s="16"/>
    </row>
    <row r="48" spans="1:113" s="15" customFormat="1" ht="21.75" customHeight="1">
      <c r="A48" s="98">
        <v>7</v>
      </c>
      <c r="B48" s="59" t="s">
        <v>39</v>
      </c>
      <c r="C48" s="99">
        <f t="shared" si="36"/>
        <v>1725000</v>
      </c>
      <c r="D48" s="100">
        <v>1725000</v>
      </c>
      <c r="E48" s="100">
        <v>0</v>
      </c>
      <c r="F48" s="100">
        <v>0</v>
      </c>
      <c r="G48" s="100"/>
      <c r="I48" s="18"/>
      <c r="J48" s="18"/>
      <c r="K48" s="17">
        <f aca="true" t="shared" si="39" ref="K48:K54">I48*J48*(0.5*1150000)</f>
        <v>0</v>
      </c>
      <c r="L48" s="17"/>
      <c r="M48" s="17"/>
      <c r="N48" s="17">
        <f aca="true" t="shared" si="40" ref="N48:N54">L48*M48*(0.5*1150000)</f>
        <v>0</v>
      </c>
      <c r="O48" s="20"/>
      <c r="P48" s="20"/>
      <c r="Q48" s="17">
        <f aca="true" t="shared" si="41" ref="Q48:Q54">O48*P48*(0.5*1150000)</f>
        <v>0</v>
      </c>
      <c r="R48" s="19"/>
      <c r="S48" s="19"/>
      <c r="T48" s="17">
        <f aca="true" t="shared" si="42" ref="T48:T54">R48*S48*100000</f>
        <v>0</v>
      </c>
      <c r="U48" s="17"/>
      <c r="V48" s="17"/>
      <c r="W48" s="17">
        <f aca="true" t="shared" si="43" ref="W48:W54">U48*V48*100000</f>
        <v>0</v>
      </c>
      <c r="X48" s="19"/>
      <c r="Y48" s="19"/>
      <c r="Z48" s="17">
        <f t="shared" si="37"/>
        <v>0</v>
      </c>
      <c r="AA48" s="18"/>
      <c r="AB48" s="18"/>
      <c r="AC48" s="17">
        <f aca="true" t="shared" si="44" ref="AC48:AC54">AA48*AB48*(0.3*1150000)</f>
        <v>0</v>
      </c>
      <c r="AD48" s="19"/>
      <c r="AE48" s="19"/>
      <c r="AF48" s="17">
        <f aca="true" t="shared" si="45" ref="AF48:AF54">AD48*AE48*(0.3*1150000)</f>
        <v>0</v>
      </c>
      <c r="AG48" s="19">
        <v>1</v>
      </c>
      <c r="AH48" s="19">
        <v>5</v>
      </c>
      <c r="AI48" s="17">
        <f t="shared" si="38"/>
        <v>1725000</v>
      </c>
      <c r="AJ48" s="18"/>
      <c r="AK48" s="18"/>
      <c r="AL48" s="18"/>
      <c r="AM48" s="18"/>
      <c r="AN48" s="18"/>
      <c r="AO48" s="17">
        <f aca="true" t="shared" si="46" ref="AO48:AO54">((AJ48*200000)+(AK48*100000)+(AL48*100000)+(AM48*300000))*AN48</f>
        <v>0</v>
      </c>
      <c r="AP48" s="19"/>
      <c r="AQ48" s="19"/>
      <c r="AR48" s="19"/>
      <c r="AS48" s="19"/>
      <c r="AT48" s="19"/>
      <c r="AU48" s="17">
        <f aca="true" t="shared" si="47" ref="AU48:AU54">((AP48*200000)+(AQ48*100000)+(AR48*100000)+(AS48*300000))*AT48</f>
        <v>0</v>
      </c>
      <c r="AV48" s="19">
        <v>2</v>
      </c>
      <c r="AW48" s="19"/>
      <c r="AX48" s="19"/>
      <c r="AY48" s="19"/>
      <c r="AZ48" s="19">
        <v>3</v>
      </c>
      <c r="BA48" s="17">
        <f aca="true" t="shared" si="48" ref="BA48:BA59">((AV48*0.5*1150000)+(AW48*0.2*1150000)+(AX48*0.2*1150000)+(AY48*0.3*1150000))*AZ48</f>
        <v>3450000</v>
      </c>
      <c r="BB48" s="22">
        <v>1</v>
      </c>
      <c r="BC48" s="22"/>
      <c r="BD48" s="22"/>
      <c r="BE48" s="22"/>
      <c r="BF48" s="22">
        <v>3</v>
      </c>
      <c r="BG48" s="21">
        <f t="shared" si="34"/>
        <v>1725000</v>
      </c>
      <c r="BH48" s="18"/>
      <c r="BI48" s="18"/>
      <c r="BJ48" s="18"/>
      <c r="BK48" s="18"/>
      <c r="BL48" s="17">
        <f aca="true" t="shared" si="49" ref="BL48:BL54">(BH48*800000*BK48)+(BI48*6062500/2)+(BJ48*15000000)</f>
        <v>0</v>
      </c>
      <c r="BM48" s="18"/>
      <c r="BN48" s="18"/>
      <c r="BO48" s="18"/>
      <c r="BP48" s="18"/>
      <c r="BQ48" s="17">
        <f t="shared" si="35"/>
        <v>0</v>
      </c>
      <c r="BR48" s="18"/>
      <c r="BS48" s="18"/>
      <c r="BT48" s="18"/>
      <c r="BU48" s="18"/>
      <c r="BV48" s="18"/>
      <c r="BW48" s="18"/>
      <c r="BX48" s="17">
        <f aca="true" t="shared" si="50" ref="BX48:BX54">(BR48*BW48*300000)+(BS48*BW48*100000)+(BT48*BW48*100000)+(BU48*BW48*300000)+(BV48*2425000/2)</f>
        <v>0</v>
      </c>
      <c r="BY48" s="18"/>
      <c r="BZ48" s="18"/>
      <c r="CA48" s="18"/>
      <c r="CB48" s="18"/>
      <c r="CC48" s="18"/>
      <c r="CD48" s="18"/>
      <c r="CE48" s="17">
        <f aca="true" t="shared" si="51" ref="CE48:CE54">(BY48*CD48*300000)+(BZ48*CD48*100000)+(CA48*CD48*100000)+(CB48*CD48*300000)+(CC48*1400000/2)</f>
        <v>0</v>
      </c>
      <c r="CF48" s="18"/>
      <c r="CG48" s="18"/>
      <c r="CH48" s="18"/>
      <c r="CI48" s="18"/>
      <c r="CJ48" s="18"/>
      <c r="CK48" s="18"/>
      <c r="CL48" s="17">
        <f t="shared" si="32"/>
        <v>0</v>
      </c>
      <c r="CM48" s="18"/>
      <c r="CN48" s="18"/>
      <c r="CO48" s="18"/>
      <c r="CP48" s="18"/>
      <c r="CQ48" s="18"/>
      <c r="CR48" s="18"/>
      <c r="CS48" s="17">
        <f aca="true" t="shared" si="52" ref="CS48:CS54">(CM48*CR48*300000)+(CN48*CR48*100000)+(CO48*CR48*100000)+(CP48*CR48*300000)+(CQ48*2200000/2)</f>
        <v>0</v>
      </c>
      <c r="CT48" s="17"/>
      <c r="CU48" s="17"/>
      <c r="CV48" s="17"/>
      <c r="CW48" s="17"/>
      <c r="CX48" s="17"/>
      <c r="CY48" s="17"/>
      <c r="CZ48" s="17">
        <f aca="true" t="shared" si="53" ref="CZ48:CZ54">(CT48*CY48*200000)+(CU48*CY48*100000)+(CV48*CY48*100000)+(CW48*CY48*300000)+(CX48*2500000/2)</f>
        <v>0</v>
      </c>
      <c r="DA48" s="18"/>
      <c r="DB48" s="18"/>
      <c r="DC48" s="18"/>
      <c r="DD48" s="18"/>
      <c r="DE48" s="18"/>
      <c r="DF48" s="18"/>
      <c r="DG48" s="17">
        <f aca="true" t="shared" si="54" ref="DG48:DG54">(DA48*DF48*300000)+(DB48*DF48*100000)+(DC48*DF48*100000)+(DD48*DF48*300000)+(DE48*2200000/2)</f>
        <v>0</v>
      </c>
      <c r="DH48" s="16"/>
      <c r="DI48" s="16"/>
    </row>
    <row r="49" spans="1:113" s="15" customFormat="1" ht="21.75" customHeight="1">
      <c r="A49" s="98">
        <v>8</v>
      </c>
      <c r="B49" s="59" t="s">
        <v>118</v>
      </c>
      <c r="C49" s="99">
        <f t="shared" si="36"/>
        <v>3795000</v>
      </c>
      <c r="D49" s="100">
        <v>3795000</v>
      </c>
      <c r="E49" s="100">
        <v>0</v>
      </c>
      <c r="F49" s="100">
        <v>0</v>
      </c>
      <c r="G49" s="100"/>
      <c r="I49" s="18"/>
      <c r="J49" s="18"/>
      <c r="K49" s="17">
        <f t="shared" si="39"/>
        <v>0</v>
      </c>
      <c r="L49" s="17"/>
      <c r="M49" s="17"/>
      <c r="N49" s="17">
        <f t="shared" si="40"/>
        <v>0</v>
      </c>
      <c r="O49" s="20"/>
      <c r="P49" s="20"/>
      <c r="Q49" s="17">
        <f t="shared" si="41"/>
        <v>0</v>
      </c>
      <c r="R49" s="19"/>
      <c r="S49" s="19"/>
      <c r="T49" s="17">
        <f t="shared" si="42"/>
        <v>0</v>
      </c>
      <c r="U49" s="17"/>
      <c r="V49" s="17"/>
      <c r="W49" s="17">
        <f t="shared" si="43"/>
        <v>0</v>
      </c>
      <c r="X49" s="19"/>
      <c r="Y49" s="19"/>
      <c r="Z49" s="17">
        <f t="shared" si="37"/>
        <v>0</v>
      </c>
      <c r="AA49" s="18"/>
      <c r="AB49" s="18"/>
      <c r="AC49" s="17">
        <f t="shared" si="44"/>
        <v>0</v>
      </c>
      <c r="AD49" s="19"/>
      <c r="AE49" s="19"/>
      <c r="AF49" s="17">
        <f t="shared" si="45"/>
        <v>0</v>
      </c>
      <c r="AG49" s="19"/>
      <c r="AH49" s="19"/>
      <c r="AI49" s="17">
        <f t="shared" si="38"/>
        <v>0</v>
      </c>
      <c r="AJ49" s="18"/>
      <c r="AK49" s="18"/>
      <c r="AL49" s="18"/>
      <c r="AM49" s="18"/>
      <c r="AN49" s="18"/>
      <c r="AO49" s="17">
        <f t="shared" si="46"/>
        <v>0</v>
      </c>
      <c r="AP49" s="19"/>
      <c r="AQ49" s="19"/>
      <c r="AR49" s="19"/>
      <c r="AS49" s="19"/>
      <c r="AT49" s="19"/>
      <c r="AU49" s="17">
        <f t="shared" si="47"/>
        <v>0</v>
      </c>
      <c r="AV49" s="19">
        <v>1</v>
      </c>
      <c r="AW49" s="19"/>
      <c r="AX49" s="19"/>
      <c r="AY49" s="19"/>
      <c r="AZ49" s="19">
        <v>3</v>
      </c>
      <c r="BA49" s="17">
        <f t="shared" si="48"/>
        <v>1725000</v>
      </c>
      <c r="BB49" s="22"/>
      <c r="BC49" s="22"/>
      <c r="BD49" s="22"/>
      <c r="BE49" s="22"/>
      <c r="BF49" s="22"/>
      <c r="BG49" s="21">
        <f t="shared" si="34"/>
        <v>0</v>
      </c>
      <c r="BH49" s="18"/>
      <c r="BI49" s="18"/>
      <c r="BJ49" s="18"/>
      <c r="BK49" s="18"/>
      <c r="BL49" s="17">
        <f t="shared" si="49"/>
        <v>0</v>
      </c>
      <c r="BM49" s="18"/>
      <c r="BN49" s="18"/>
      <c r="BO49" s="18"/>
      <c r="BP49" s="18"/>
      <c r="BQ49" s="17">
        <f t="shared" si="35"/>
        <v>0</v>
      </c>
      <c r="BR49" s="18"/>
      <c r="BS49" s="18"/>
      <c r="BT49" s="18"/>
      <c r="BU49" s="18"/>
      <c r="BV49" s="18"/>
      <c r="BW49" s="18"/>
      <c r="BX49" s="17">
        <f t="shared" si="50"/>
        <v>0</v>
      </c>
      <c r="BY49" s="18"/>
      <c r="BZ49" s="18"/>
      <c r="CA49" s="18"/>
      <c r="CB49" s="18"/>
      <c r="CC49" s="18"/>
      <c r="CD49" s="18"/>
      <c r="CE49" s="17">
        <f t="shared" si="51"/>
        <v>0</v>
      </c>
      <c r="CF49" s="18"/>
      <c r="CG49" s="18"/>
      <c r="CH49" s="18"/>
      <c r="CI49" s="18"/>
      <c r="CJ49" s="18"/>
      <c r="CK49" s="18"/>
      <c r="CL49" s="17">
        <f t="shared" si="32"/>
        <v>0</v>
      </c>
      <c r="CM49" s="18"/>
      <c r="CN49" s="18"/>
      <c r="CO49" s="18"/>
      <c r="CP49" s="18"/>
      <c r="CQ49" s="18"/>
      <c r="CR49" s="18"/>
      <c r="CS49" s="17">
        <f t="shared" si="52"/>
        <v>0</v>
      </c>
      <c r="CT49" s="17"/>
      <c r="CU49" s="17"/>
      <c r="CV49" s="17"/>
      <c r="CW49" s="17"/>
      <c r="CX49" s="17"/>
      <c r="CY49" s="17"/>
      <c r="CZ49" s="17">
        <f t="shared" si="53"/>
        <v>0</v>
      </c>
      <c r="DA49" s="18"/>
      <c r="DB49" s="18"/>
      <c r="DC49" s="18"/>
      <c r="DD49" s="18"/>
      <c r="DE49" s="18"/>
      <c r="DF49" s="18"/>
      <c r="DG49" s="17">
        <f t="shared" si="54"/>
        <v>0</v>
      </c>
      <c r="DH49" s="16"/>
      <c r="DI49" s="16"/>
    </row>
    <row r="50" spans="1:113" s="15" customFormat="1" ht="21.75" customHeight="1">
      <c r="A50" s="98">
        <v>9</v>
      </c>
      <c r="B50" s="59" t="s">
        <v>119</v>
      </c>
      <c r="C50" s="99">
        <f t="shared" si="36"/>
        <v>3105000</v>
      </c>
      <c r="D50" s="100">
        <v>3105000</v>
      </c>
      <c r="E50" s="100">
        <v>0</v>
      </c>
      <c r="F50" s="100">
        <v>0</v>
      </c>
      <c r="G50" s="100"/>
      <c r="I50" s="18"/>
      <c r="J50" s="18"/>
      <c r="K50" s="17">
        <f t="shared" si="39"/>
        <v>0</v>
      </c>
      <c r="L50" s="17"/>
      <c r="M50" s="17"/>
      <c r="N50" s="17">
        <f t="shared" si="40"/>
        <v>0</v>
      </c>
      <c r="O50" s="20"/>
      <c r="P50" s="20"/>
      <c r="Q50" s="17">
        <f t="shared" si="41"/>
        <v>0</v>
      </c>
      <c r="R50" s="19"/>
      <c r="S50" s="19"/>
      <c r="T50" s="17">
        <f t="shared" si="42"/>
        <v>0</v>
      </c>
      <c r="U50" s="17"/>
      <c r="V50" s="17"/>
      <c r="W50" s="17">
        <f t="shared" si="43"/>
        <v>0</v>
      </c>
      <c r="X50" s="19"/>
      <c r="Y50" s="19"/>
      <c r="Z50" s="17">
        <f t="shared" si="37"/>
        <v>0</v>
      </c>
      <c r="AA50" s="18"/>
      <c r="AB50" s="18"/>
      <c r="AC50" s="17">
        <f t="shared" si="44"/>
        <v>0</v>
      </c>
      <c r="AD50" s="19"/>
      <c r="AE50" s="19"/>
      <c r="AF50" s="17">
        <f t="shared" si="45"/>
        <v>0</v>
      </c>
      <c r="AG50" s="19">
        <v>1</v>
      </c>
      <c r="AH50" s="19">
        <v>5</v>
      </c>
      <c r="AI50" s="17">
        <f t="shared" si="38"/>
        <v>1725000</v>
      </c>
      <c r="AJ50" s="18"/>
      <c r="AK50" s="18"/>
      <c r="AL50" s="18"/>
      <c r="AM50" s="18"/>
      <c r="AN50" s="18"/>
      <c r="AO50" s="17">
        <f t="shared" si="46"/>
        <v>0</v>
      </c>
      <c r="AP50" s="19"/>
      <c r="AQ50" s="19"/>
      <c r="AR50" s="19"/>
      <c r="AS50" s="19"/>
      <c r="AT50" s="19"/>
      <c r="AU50" s="17">
        <f t="shared" si="47"/>
        <v>0</v>
      </c>
      <c r="AV50" s="19">
        <v>2</v>
      </c>
      <c r="AW50" s="19"/>
      <c r="AX50" s="19"/>
      <c r="AY50" s="19"/>
      <c r="AZ50" s="19">
        <v>3</v>
      </c>
      <c r="BA50" s="17">
        <f t="shared" si="48"/>
        <v>3450000</v>
      </c>
      <c r="BB50" s="22">
        <v>2</v>
      </c>
      <c r="BC50" s="22"/>
      <c r="BD50" s="22"/>
      <c r="BE50" s="22"/>
      <c r="BF50" s="22">
        <v>3</v>
      </c>
      <c r="BG50" s="21">
        <f t="shared" si="34"/>
        <v>3450000</v>
      </c>
      <c r="BH50" s="18"/>
      <c r="BI50" s="18"/>
      <c r="BJ50" s="18"/>
      <c r="BK50" s="18"/>
      <c r="BL50" s="17">
        <f t="shared" si="49"/>
        <v>0</v>
      </c>
      <c r="BM50" s="18"/>
      <c r="BN50" s="18"/>
      <c r="BO50" s="18"/>
      <c r="BP50" s="18"/>
      <c r="BQ50" s="17">
        <f t="shared" si="35"/>
        <v>0</v>
      </c>
      <c r="BR50" s="18"/>
      <c r="BS50" s="18"/>
      <c r="BT50" s="18"/>
      <c r="BU50" s="18"/>
      <c r="BV50" s="18"/>
      <c r="BW50" s="18"/>
      <c r="BX50" s="17">
        <f t="shared" si="50"/>
        <v>0</v>
      </c>
      <c r="BY50" s="18"/>
      <c r="BZ50" s="18"/>
      <c r="CA50" s="18"/>
      <c r="CB50" s="18"/>
      <c r="CC50" s="18"/>
      <c r="CD50" s="18"/>
      <c r="CE50" s="17">
        <f t="shared" si="51"/>
        <v>0</v>
      </c>
      <c r="CF50" s="18"/>
      <c r="CG50" s="18"/>
      <c r="CH50" s="18"/>
      <c r="CI50" s="18"/>
      <c r="CJ50" s="18"/>
      <c r="CK50" s="18"/>
      <c r="CL50" s="17">
        <f t="shared" si="32"/>
        <v>0</v>
      </c>
      <c r="CM50" s="18"/>
      <c r="CN50" s="18"/>
      <c r="CO50" s="18"/>
      <c r="CP50" s="18"/>
      <c r="CQ50" s="18"/>
      <c r="CR50" s="18"/>
      <c r="CS50" s="17">
        <f t="shared" si="52"/>
        <v>0</v>
      </c>
      <c r="CT50" s="17"/>
      <c r="CU50" s="17"/>
      <c r="CV50" s="17"/>
      <c r="CW50" s="17"/>
      <c r="CX50" s="17"/>
      <c r="CY50" s="17"/>
      <c r="CZ50" s="17">
        <f t="shared" si="53"/>
        <v>0</v>
      </c>
      <c r="DA50" s="18"/>
      <c r="DB50" s="18"/>
      <c r="DC50" s="18"/>
      <c r="DD50" s="18"/>
      <c r="DE50" s="18"/>
      <c r="DF50" s="18"/>
      <c r="DG50" s="17">
        <f t="shared" si="54"/>
        <v>0</v>
      </c>
      <c r="DH50" s="16"/>
      <c r="DI50" s="16"/>
    </row>
    <row r="51" spans="1:113" s="15" customFormat="1" ht="21.75" customHeight="1">
      <c r="A51" s="98">
        <v>10</v>
      </c>
      <c r="B51" s="101" t="s">
        <v>150</v>
      </c>
      <c r="C51" s="99">
        <f t="shared" si="36"/>
        <v>9200000</v>
      </c>
      <c r="D51" s="100">
        <v>9200000</v>
      </c>
      <c r="E51" s="100">
        <v>0</v>
      </c>
      <c r="F51" s="100">
        <v>0</v>
      </c>
      <c r="G51" s="100"/>
      <c r="I51" s="18"/>
      <c r="J51" s="18"/>
      <c r="K51" s="17">
        <f t="shared" si="39"/>
        <v>0</v>
      </c>
      <c r="L51" s="17"/>
      <c r="M51" s="17"/>
      <c r="N51" s="17">
        <f t="shared" si="40"/>
        <v>0</v>
      </c>
      <c r="O51" s="20"/>
      <c r="P51" s="20"/>
      <c r="Q51" s="17">
        <f t="shared" si="41"/>
        <v>0</v>
      </c>
      <c r="R51" s="19"/>
      <c r="S51" s="19"/>
      <c r="T51" s="17">
        <f t="shared" si="42"/>
        <v>0</v>
      </c>
      <c r="U51" s="20"/>
      <c r="V51" s="20"/>
      <c r="W51" s="17">
        <f t="shared" si="43"/>
        <v>0</v>
      </c>
      <c r="X51" s="19"/>
      <c r="Y51" s="19"/>
      <c r="Z51" s="17">
        <f t="shared" si="37"/>
        <v>0</v>
      </c>
      <c r="AA51" s="18"/>
      <c r="AB51" s="18"/>
      <c r="AC51" s="17">
        <f t="shared" si="44"/>
        <v>0</v>
      </c>
      <c r="AD51" s="19">
        <v>1</v>
      </c>
      <c r="AE51" s="19">
        <v>5</v>
      </c>
      <c r="AF51" s="17">
        <f t="shared" si="45"/>
        <v>1725000</v>
      </c>
      <c r="AG51" s="19"/>
      <c r="AH51" s="19"/>
      <c r="AI51" s="17">
        <f t="shared" si="38"/>
        <v>0</v>
      </c>
      <c r="AJ51" s="18"/>
      <c r="AK51" s="18"/>
      <c r="AL51" s="18"/>
      <c r="AM51" s="18"/>
      <c r="AN51" s="18"/>
      <c r="AO51" s="17">
        <f t="shared" si="46"/>
        <v>0</v>
      </c>
      <c r="AP51" s="19"/>
      <c r="AQ51" s="19"/>
      <c r="AR51" s="19"/>
      <c r="AS51" s="19"/>
      <c r="AT51" s="19"/>
      <c r="AU51" s="17">
        <f t="shared" si="47"/>
        <v>0</v>
      </c>
      <c r="AV51" s="19">
        <v>1</v>
      </c>
      <c r="AW51" s="19"/>
      <c r="AX51" s="19"/>
      <c r="AY51" s="19"/>
      <c r="AZ51" s="19">
        <v>3</v>
      </c>
      <c r="BA51" s="17">
        <f t="shared" si="48"/>
        <v>1725000</v>
      </c>
      <c r="BB51" s="22">
        <v>1</v>
      </c>
      <c r="BC51" s="22"/>
      <c r="BD51" s="22"/>
      <c r="BE51" s="22"/>
      <c r="BF51" s="22">
        <v>3</v>
      </c>
      <c r="BG51" s="21">
        <f t="shared" si="34"/>
        <v>1725000</v>
      </c>
      <c r="BH51" s="18"/>
      <c r="BI51" s="18"/>
      <c r="BJ51" s="18"/>
      <c r="BK51" s="18"/>
      <c r="BL51" s="17">
        <f t="shared" si="49"/>
        <v>0</v>
      </c>
      <c r="BM51" s="18"/>
      <c r="BN51" s="18"/>
      <c r="BO51" s="18"/>
      <c r="BP51" s="18"/>
      <c r="BQ51" s="17">
        <f t="shared" si="35"/>
        <v>0</v>
      </c>
      <c r="BR51" s="18"/>
      <c r="BS51" s="18"/>
      <c r="BT51" s="18"/>
      <c r="BU51" s="18"/>
      <c r="BV51" s="18"/>
      <c r="BW51" s="18"/>
      <c r="BX51" s="17">
        <f t="shared" si="50"/>
        <v>0</v>
      </c>
      <c r="BY51" s="18"/>
      <c r="BZ51" s="18"/>
      <c r="CA51" s="18"/>
      <c r="CB51" s="18"/>
      <c r="CC51" s="18"/>
      <c r="CD51" s="18"/>
      <c r="CE51" s="17">
        <f t="shared" si="51"/>
        <v>0</v>
      </c>
      <c r="CF51" s="18"/>
      <c r="CG51" s="18"/>
      <c r="CH51" s="18"/>
      <c r="CI51" s="18"/>
      <c r="CJ51" s="18"/>
      <c r="CK51" s="18"/>
      <c r="CL51" s="17">
        <f t="shared" si="32"/>
        <v>0</v>
      </c>
      <c r="CM51" s="18"/>
      <c r="CN51" s="18"/>
      <c r="CO51" s="18"/>
      <c r="CP51" s="18"/>
      <c r="CQ51" s="18"/>
      <c r="CR51" s="18"/>
      <c r="CS51" s="17">
        <f t="shared" si="52"/>
        <v>0</v>
      </c>
      <c r="CT51" s="17"/>
      <c r="CU51" s="17"/>
      <c r="CV51" s="17"/>
      <c r="CW51" s="17"/>
      <c r="CX51" s="17"/>
      <c r="CY51" s="17"/>
      <c r="CZ51" s="17">
        <f t="shared" si="53"/>
        <v>0</v>
      </c>
      <c r="DA51" s="18"/>
      <c r="DB51" s="18"/>
      <c r="DC51" s="18"/>
      <c r="DD51" s="18"/>
      <c r="DE51" s="18"/>
      <c r="DF51" s="18"/>
      <c r="DG51" s="17">
        <f t="shared" si="54"/>
        <v>0</v>
      </c>
      <c r="DH51" s="16"/>
      <c r="DI51" s="16"/>
    </row>
    <row r="52" spans="1:113" s="15" customFormat="1" ht="21.75" customHeight="1">
      <c r="A52" s="98">
        <v>11</v>
      </c>
      <c r="B52" s="101" t="s">
        <v>151</v>
      </c>
      <c r="C52" s="99">
        <f t="shared" si="36"/>
        <v>10235000</v>
      </c>
      <c r="D52" s="100">
        <v>10235000</v>
      </c>
      <c r="E52" s="100">
        <v>0</v>
      </c>
      <c r="F52" s="100">
        <v>0</v>
      </c>
      <c r="G52" s="100"/>
      <c r="I52" s="18"/>
      <c r="J52" s="18"/>
      <c r="K52" s="17">
        <f t="shared" si="39"/>
        <v>0</v>
      </c>
      <c r="L52" s="17"/>
      <c r="M52" s="17"/>
      <c r="N52" s="17">
        <f t="shared" si="40"/>
        <v>0</v>
      </c>
      <c r="O52" s="20"/>
      <c r="P52" s="20"/>
      <c r="Q52" s="17">
        <f t="shared" si="41"/>
        <v>0</v>
      </c>
      <c r="R52" s="19"/>
      <c r="S52" s="19"/>
      <c r="T52" s="17">
        <f t="shared" si="42"/>
        <v>0</v>
      </c>
      <c r="U52" s="17"/>
      <c r="V52" s="17"/>
      <c r="W52" s="17">
        <f t="shared" si="43"/>
        <v>0</v>
      </c>
      <c r="X52" s="19"/>
      <c r="Y52" s="19"/>
      <c r="Z52" s="17">
        <f t="shared" si="37"/>
        <v>0</v>
      </c>
      <c r="AA52" s="18"/>
      <c r="AB52" s="18"/>
      <c r="AC52" s="17">
        <f t="shared" si="44"/>
        <v>0</v>
      </c>
      <c r="AD52" s="19"/>
      <c r="AE52" s="19"/>
      <c r="AF52" s="17">
        <f t="shared" si="45"/>
        <v>0</v>
      </c>
      <c r="AG52" s="19"/>
      <c r="AH52" s="19"/>
      <c r="AI52" s="17">
        <f t="shared" si="38"/>
        <v>0</v>
      </c>
      <c r="AJ52" s="18"/>
      <c r="AK52" s="18"/>
      <c r="AL52" s="18"/>
      <c r="AM52" s="18"/>
      <c r="AN52" s="18"/>
      <c r="AO52" s="17">
        <f t="shared" si="46"/>
        <v>0</v>
      </c>
      <c r="AP52" s="19"/>
      <c r="AQ52" s="19"/>
      <c r="AR52" s="19"/>
      <c r="AS52" s="19"/>
      <c r="AT52" s="19"/>
      <c r="AU52" s="17">
        <f t="shared" si="47"/>
        <v>0</v>
      </c>
      <c r="AV52" s="19">
        <v>2</v>
      </c>
      <c r="AW52" s="19"/>
      <c r="AX52" s="19"/>
      <c r="AY52" s="19"/>
      <c r="AZ52" s="19">
        <v>3</v>
      </c>
      <c r="BA52" s="17">
        <f t="shared" si="48"/>
        <v>3450000</v>
      </c>
      <c r="BB52" s="22"/>
      <c r="BC52" s="22"/>
      <c r="BD52" s="22"/>
      <c r="BE52" s="22"/>
      <c r="BF52" s="22"/>
      <c r="BG52" s="21">
        <f t="shared" si="34"/>
        <v>0</v>
      </c>
      <c r="BH52" s="18"/>
      <c r="BI52" s="18"/>
      <c r="BJ52" s="18"/>
      <c r="BK52" s="18"/>
      <c r="BL52" s="17">
        <f t="shared" si="49"/>
        <v>0</v>
      </c>
      <c r="BM52" s="18"/>
      <c r="BN52" s="18"/>
      <c r="BO52" s="18"/>
      <c r="BP52" s="18"/>
      <c r="BQ52" s="17">
        <f t="shared" si="35"/>
        <v>0</v>
      </c>
      <c r="BR52" s="18"/>
      <c r="BS52" s="18"/>
      <c r="BT52" s="18"/>
      <c r="BU52" s="18"/>
      <c r="BV52" s="18"/>
      <c r="BW52" s="18"/>
      <c r="BX52" s="17">
        <f t="shared" si="50"/>
        <v>0</v>
      </c>
      <c r="BY52" s="18"/>
      <c r="BZ52" s="18"/>
      <c r="CA52" s="18"/>
      <c r="CB52" s="18"/>
      <c r="CC52" s="18"/>
      <c r="CD52" s="18"/>
      <c r="CE52" s="17">
        <f t="shared" si="51"/>
        <v>0</v>
      </c>
      <c r="CF52" s="18"/>
      <c r="CG52" s="18"/>
      <c r="CH52" s="18"/>
      <c r="CI52" s="18"/>
      <c r="CJ52" s="18"/>
      <c r="CK52" s="18"/>
      <c r="CL52" s="17">
        <f t="shared" si="32"/>
        <v>0</v>
      </c>
      <c r="CM52" s="18"/>
      <c r="CN52" s="18"/>
      <c r="CO52" s="18"/>
      <c r="CP52" s="18"/>
      <c r="CQ52" s="18"/>
      <c r="CR52" s="18"/>
      <c r="CS52" s="17">
        <f t="shared" si="52"/>
        <v>0</v>
      </c>
      <c r="CT52" s="17"/>
      <c r="CU52" s="17"/>
      <c r="CV52" s="17"/>
      <c r="CW52" s="17"/>
      <c r="CX52" s="17"/>
      <c r="CY52" s="17"/>
      <c r="CZ52" s="17">
        <f t="shared" si="53"/>
        <v>0</v>
      </c>
      <c r="DA52" s="18"/>
      <c r="DB52" s="18"/>
      <c r="DC52" s="18"/>
      <c r="DD52" s="18"/>
      <c r="DE52" s="18"/>
      <c r="DF52" s="18"/>
      <c r="DG52" s="17">
        <f t="shared" si="54"/>
        <v>0</v>
      </c>
      <c r="DH52" s="16"/>
      <c r="DI52" s="16"/>
    </row>
    <row r="53" spans="1:113" s="15" customFormat="1" ht="21.75" customHeight="1">
      <c r="A53" s="98">
        <v>12</v>
      </c>
      <c r="B53" s="59" t="s">
        <v>38</v>
      </c>
      <c r="C53" s="99">
        <f t="shared" si="36"/>
        <v>10695000</v>
      </c>
      <c r="D53" s="100">
        <v>10695000</v>
      </c>
      <c r="E53" s="100">
        <v>0</v>
      </c>
      <c r="F53" s="100">
        <v>0</v>
      </c>
      <c r="G53" s="100"/>
      <c r="I53" s="18"/>
      <c r="J53" s="18"/>
      <c r="K53" s="17">
        <f t="shared" si="39"/>
        <v>0</v>
      </c>
      <c r="L53" s="17"/>
      <c r="M53" s="17"/>
      <c r="N53" s="17">
        <f t="shared" si="40"/>
        <v>0</v>
      </c>
      <c r="O53" s="20"/>
      <c r="P53" s="20"/>
      <c r="Q53" s="17">
        <f t="shared" si="41"/>
        <v>0</v>
      </c>
      <c r="R53" s="19"/>
      <c r="S53" s="19"/>
      <c r="T53" s="17">
        <f t="shared" si="42"/>
        <v>0</v>
      </c>
      <c r="U53" s="17"/>
      <c r="V53" s="17"/>
      <c r="W53" s="17">
        <f t="shared" si="43"/>
        <v>0</v>
      </c>
      <c r="X53" s="19"/>
      <c r="Y53" s="19"/>
      <c r="Z53" s="17">
        <f t="shared" si="37"/>
        <v>0</v>
      </c>
      <c r="AA53" s="18"/>
      <c r="AB53" s="18"/>
      <c r="AC53" s="17">
        <f t="shared" si="44"/>
        <v>0</v>
      </c>
      <c r="AD53" s="19"/>
      <c r="AE53" s="19"/>
      <c r="AF53" s="17">
        <f t="shared" si="45"/>
        <v>0</v>
      </c>
      <c r="AG53" s="19"/>
      <c r="AH53" s="19"/>
      <c r="AI53" s="17">
        <f t="shared" si="38"/>
        <v>0</v>
      </c>
      <c r="AJ53" s="18"/>
      <c r="AK53" s="18"/>
      <c r="AL53" s="18"/>
      <c r="AM53" s="18"/>
      <c r="AN53" s="18"/>
      <c r="AO53" s="17">
        <f t="shared" si="46"/>
        <v>0</v>
      </c>
      <c r="AP53" s="19"/>
      <c r="AQ53" s="19"/>
      <c r="AR53" s="19"/>
      <c r="AS53" s="19"/>
      <c r="AT53" s="19"/>
      <c r="AU53" s="17">
        <f t="shared" si="47"/>
        <v>0</v>
      </c>
      <c r="AV53" s="19">
        <v>1</v>
      </c>
      <c r="AW53" s="19">
        <v>1</v>
      </c>
      <c r="AX53" s="19"/>
      <c r="AY53" s="19"/>
      <c r="AZ53" s="19">
        <v>3</v>
      </c>
      <c r="BA53" s="17">
        <f t="shared" si="48"/>
        <v>2415000</v>
      </c>
      <c r="BB53" s="19"/>
      <c r="BC53" s="19"/>
      <c r="BD53" s="19"/>
      <c r="BE53" s="19"/>
      <c r="BF53" s="19"/>
      <c r="BG53" s="17">
        <f t="shared" si="34"/>
        <v>0</v>
      </c>
      <c r="BH53" s="18"/>
      <c r="BI53" s="18"/>
      <c r="BJ53" s="18"/>
      <c r="BK53" s="18"/>
      <c r="BL53" s="17">
        <f t="shared" si="49"/>
        <v>0</v>
      </c>
      <c r="BM53" s="18"/>
      <c r="BN53" s="18"/>
      <c r="BO53" s="18"/>
      <c r="BP53" s="18"/>
      <c r="BQ53" s="17">
        <f t="shared" si="35"/>
        <v>0</v>
      </c>
      <c r="BR53" s="18"/>
      <c r="BS53" s="18"/>
      <c r="BT53" s="18"/>
      <c r="BU53" s="18"/>
      <c r="BV53" s="18"/>
      <c r="BW53" s="18"/>
      <c r="BX53" s="17">
        <f t="shared" si="50"/>
        <v>0</v>
      </c>
      <c r="BY53" s="18"/>
      <c r="BZ53" s="18"/>
      <c r="CA53" s="18"/>
      <c r="CB53" s="18"/>
      <c r="CC53" s="18"/>
      <c r="CD53" s="18"/>
      <c r="CE53" s="17">
        <f t="shared" si="51"/>
        <v>0</v>
      </c>
      <c r="CF53" s="18"/>
      <c r="CG53" s="18"/>
      <c r="CH53" s="18"/>
      <c r="CI53" s="18"/>
      <c r="CJ53" s="18"/>
      <c r="CK53" s="18"/>
      <c r="CL53" s="17">
        <f t="shared" si="32"/>
        <v>0</v>
      </c>
      <c r="CM53" s="18"/>
      <c r="CN53" s="18"/>
      <c r="CO53" s="18"/>
      <c r="CP53" s="18"/>
      <c r="CQ53" s="18"/>
      <c r="CR53" s="18"/>
      <c r="CS53" s="17">
        <f t="shared" si="52"/>
        <v>0</v>
      </c>
      <c r="CT53" s="17"/>
      <c r="CU53" s="17"/>
      <c r="CV53" s="17"/>
      <c r="CW53" s="17"/>
      <c r="CX53" s="17"/>
      <c r="CY53" s="17"/>
      <c r="CZ53" s="17">
        <f t="shared" si="53"/>
        <v>0</v>
      </c>
      <c r="DA53" s="18"/>
      <c r="DB53" s="18"/>
      <c r="DC53" s="18"/>
      <c r="DD53" s="18"/>
      <c r="DE53" s="18"/>
      <c r="DF53" s="18"/>
      <c r="DG53" s="17">
        <f t="shared" si="54"/>
        <v>0</v>
      </c>
      <c r="DH53" s="16"/>
      <c r="DI53" s="16"/>
    </row>
    <row r="54" spans="1:113" s="15" customFormat="1" ht="21.75" customHeight="1">
      <c r="A54" s="98">
        <v>13</v>
      </c>
      <c r="B54" s="59" t="s">
        <v>158</v>
      </c>
      <c r="C54" s="99">
        <f t="shared" si="36"/>
        <v>3795000</v>
      </c>
      <c r="D54" s="100">
        <v>3795000</v>
      </c>
      <c r="E54" s="100">
        <v>0</v>
      </c>
      <c r="F54" s="100">
        <v>0</v>
      </c>
      <c r="G54" s="100"/>
      <c r="I54" s="18"/>
      <c r="J54" s="18"/>
      <c r="K54" s="17">
        <f t="shared" si="39"/>
        <v>0</v>
      </c>
      <c r="L54" s="17"/>
      <c r="M54" s="17"/>
      <c r="N54" s="17">
        <f t="shared" si="40"/>
        <v>0</v>
      </c>
      <c r="O54" s="20"/>
      <c r="P54" s="20"/>
      <c r="Q54" s="17">
        <f t="shared" si="41"/>
        <v>0</v>
      </c>
      <c r="R54" s="19"/>
      <c r="S54" s="19"/>
      <c r="T54" s="17">
        <f t="shared" si="42"/>
        <v>0</v>
      </c>
      <c r="U54" s="17"/>
      <c r="V54" s="17"/>
      <c r="W54" s="17">
        <f t="shared" si="43"/>
        <v>0</v>
      </c>
      <c r="X54" s="19"/>
      <c r="Y54" s="19"/>
      <c r="Z54" s="17">
        <f t="shared" si="37"/>
        <v>0</v>
      </c>
      <c r="AA54" s="18"/>
      <c r="AB54" s="18"/>
      <c r="AC54" s="17">
        <f t="shared" si="44"/>
        <v>0</v>
      </c>
      <c r="AD54" s="19"/>
      <c r="AE54" s="19"/>
      <c r="AF54" s="17">
        <f t="shared" si="45"/>
        <v>0</v>
      </c>
      <c r="AG54" s="19"/>
      <c r="AH54" s="19"/>
      <c r="AI54" s="17">
        <f t="shared" si="38"/>
        <v>0</v>
      </c>
      <c r="AJ54" s="18"/>
      <c r="AK54" s="18"/>
      <c r="AL54" s="18"/>
      <c r="AM54" s="18"/>
      <c r="AN54" s="18"/>
      <c r="AO54" s="17">
        <f t="shared" si="46"/>
        <v>0</v>
      </c>
      <c r="AP54" s="19"/>
      <c r="AQ54" s="19"/>
      <c r="AR54" s="19"/>
      <c r="AS54" s="19"/>
      <c r="AT54" s="19"/>
      <c r="AU54" s="17">
        <f t="shared" si="47"/>
        <v>0</v>
      </c>
      <c r="AV54" s="19">
        <v>1</v>
      </c>
      <c r="AW54" s="19">
        <v>1</v>
      </c>
      <c r="AX54" s="19"/>
      <c r="AY54" s="19"/>
      <c r="AZ54" s="19">
        <v>3</v>
      </c>
      <c r="BA54" s="17">
        <f t="shared" si="48"/>
        <v>2415000</v>
      </c>
      <c r="BB54" s="19"/>
      <c r="BC54" s="19"/>
      <c r="BD54" s="19"/>
      <c r="BE54" s="19"/>
      <c r="BF54" s="19"/>
      <c r="BG54" s="17">
        <f t="shared" si="34"/>
        <v>0</v>
      </c>
      <c r="BH54" s="18"/>
      <c r="BI54" s="18"/>
      <c r="BJ54" s="18"/>
      <c r="BK54" s="18"/>
      <c r="BL54" s="17">
        <f t="shared" si="49"/>
        <v>0</v>
      </c>
      <c r="BM54" s="18"/>
      <c r="BN54" s="18"/>
      <c r="BO54" s="18"/>
      <c r="BP54" s="18"/>
      <c r="BQ54" s="17">
        <f t="shared" si="35"/>
        <v>0</v>
      </c>
      <c r="BR54" s="18"/>
      <c r="BS54" s="18"/>
      <c r="BT54" s="18"/>
      <c r="BU54" s="18"/>
      <c r="BV54" s="18"/>
      <c r="BW54" s="18"/>
      <c r="BX54" s="17">
        <f t="shared" si="50"/>
        <v>0</v>
      </c>
      <c r="BY54" s="18"/>
      <c r="BZ54" s="18"/>
      <c r="CA54" s="18"/>
      <c r="CB54" s="18"/>
      <c r="CC54" s="18"/>
      <c r="CD54" s="18"/>
      <c r="CE54" s="17">
        <f t="shared" si="51"/>
        <v>0</v>
      </c>
      <c r="CF54" s="18"/>
      <c r="CG54" s="18"/>
      <c r="CH54" s="18"/>
      <c r="CI54" s="18"/>
      <c r="CJ54" s="18"/>
      <c r="CK54" s="18"/>
      <c r="CL54" s="17">
        <f t="shared" si="32"/>
        <v>0</v>
      </c>
      <c r="CM54" s="18"/>
      <c r="CN54" s="18"/>
      <c r="CO54" s="18"/>
      <c r="CP54" s="18"/>
      <c r="CQ54" s="18"/>
      <c r="CR54" s="18"/>
      <c r="CS54" s="17">
        <f t="shared" si="52"/>
        <v>0</v>
      </c>
      <c r="CT54" s="17"/>
      <c r="CU54" s="17"/>
      <c r="CV54" s="17"/>
      <c r="CW54" s="17"/>
      <c r="CX54" s="17"/>
      <c r="CY54" s="17"/>
      <c r="CZ54" s="17">
        <f t="shared" si="53"/>
        <v>0</v>
      </c>
      <c r="DA54" s="18"/>
      <c r="DB54" s="18"/>
      <c r="DC54" s="18"/>
      <c r="DD54" s="18"/>
      <c r="DE54" s="18"/>
      <c r="DF54" s="18"/>
      <c r="DG54" s="17">
        <f t="shared" si="54"/>
        <v>0</v>
      </c>
      <c r="DH54" s="16"/>
      <c r="DI54" s="16"/>
    </row>
    <row r="55" spans="1:113" s="15" customFormat="1" ht="21.75" customHeight="1">
      <c r="A55" s="98">
        <v>14</v>
      </c>
      <c r="B55" s="59" t="s">
        <v>148</v>
      </c>
      <c r="C55" s="99">
        <f t="shared" si="36"/>
        <v>2300000</v>
      </c>
      <c r="D55" s="100">
        <v>2300000</v>
      </c>
      <c r="E55" s="100">
        <v>0</v>
      </c>
      <c r="F55" s="100">
        <v>0</v>
      </c>
      <c r="G55" s="100"/>
      <c r="I55" s="18"/>
      <c r="J55" s="18"/>
      <c r="K55" s="17"/>
      <c r="L55" s="17"/>
      <c r="M55" s="17"/>
      <c r="N55" s="17"/>
      <c r="O55" s="20"/>
      <c r="P55" s="20"/>
      <c r="Q55" s="17"/>
      <c r="R55" s="19"/>
      <c r="S55" s="19"/>
      <c r="T55" s="17"/>
      <c r="U55" s="17"/>
      <c r="V55" s="17"/>
      <c r="W55" s="17"/>
      <c r="X55" s="19"/>
      <c r="Y55" s="19"/>
      <c r="Z55" s="17"/>
      <c r="AA55" s="18"/>
      <c r="AB55" s="18"/>
      <c r="AC55" s="17"/>
      <c r="AD55" s="19"/>
      <c r="AE55" s="19"/>
      <c r="AF55" s="17"/>
      <c r="AG55" s="19"/>
      <c r="AH55" s="19"/>
      <c r="AI55" s="17"/>
      <c r="AJ55" s="18"/>
      <c r="AK55" s="18"/>
      <c r="AL55" s="18"/>
      <c r="AM55" s="18"/>
      <c r="AN55" s="18"/>
      <c r="AO55" s="17"/>
      <c r="AP55" s="19"/>
      <c r="AQ55" s="19"/>
      <c r="AR55" s="19"/>
      <c r="AS55" s="19"/>
      <c r="AT55" s="19"/>
      <c r="AU55" s="17"/>
      <c r="AV55" s="19">
        <v>1</v>
      </c>
      <c r="AW55" s="19"/>
      <c r="AX55" s="19"/>
      <c r="AY55" s="19"/>
      <c r="AZ55" s="19">
        <v>3</v>
      </c>
      <c r="BA55" s="17">
        <f t="shared" si="48"/>
        <v>1725000</v>
      </c>
      <c r="BB55" s="19"/>
      <c r="BC55" s="19"/>
      <c r="BD55" s="19"/>
      <c r="BE55" s="19"/>
      <c r="BF55" s="19"/>
      <c r="BG55" s="17"/>
      <c r="BH55" s="18"/>
      <c r="BI55" s="18"/>
      <c r="BJ55" s="18"/>
      <c r="BK55" s="18"/>
      <c r="BL55" s="17"/>
      <c r="BM55" s="18"/>
      <c r="BN55" s="18"/>
      <c r="BO55" s="18"/>
      <c r="BP55" s="18"/>
      <c r="BQ55" s="17"/>
      <c r="BR55" s="18"/>
      <c r="BS55" s="18"/>
      <c r="BT55" s="18"/>
      <c r="BU55" s="18"/>
      <c r="BV55" s="18"/>
      <c r="BW55" s="18"/>
      <c r="BX55" s="17"/>
      <c r="BY55" s="18"/>
      <c r="BZ55" s="18"/>
      <c r="CA55" s="18"/>
      <c r="CB55" s="18"/>
      <c r="CC55" s="18"/>
      <c r="CD55" s="18"/>
      <c r="CE55" s="17"/>
      <c r="CF55" s="18"/>
      <c r="CG55" s="18"/>
      <c r="CH55" s="18"/>
      <c r="CI55" s="18"/>
      <c r="CJ55" s="18"/>
      <c r="CK55" s="18"/>
      <c r="CL55" s="17"/>
      <c r="CM55" s="18"/>
      <c r="CN55" s="18"/>
      <c r="CO55" s="18"/>
      <c r="CP55" s="18"/>
      <c r="CQ55" s="18"/>
      <c r="CR55" s="18"/>
      <c r="CS55" s="17"/>
      <c r="CT55" s="17"/>
      <c r="CU55" s="17"/>
      <c r="CV55" s="17"/>
      <c r="CW55" s="17"/>
      <c r="CX55" s="17"/>
      <c r="CY55" s="17"/>
      <c r="CZ55" s="17"/>
      <c r="DA55" s="18"/>
      <c r="DB55" s="18"/>
      <c r="DC55" s="18"/>
      <c r="DD55" s="18"/>
      <c r="DE55" s="18"/>
      <c r="DF55" s="18"/>
      <c r="DG55" s="17"/>
      <c r="DH55" s="16"/>
      <c r="DI55" s="16"/>
    </row>
    <row r="56" spans="1:113" s="15" customFormat="1" ht="36.75" customHeight="1">
      <c r="A56" s="98">
        <v>15</v>
      </c>
      <c r="B56" s="101" t="s">
        <v>149</v>
      </c>
      <c r="C56" s="99">
        <f t="shared" si="36"/>
        <v>4485000</v>
      </c>
      <c r="D56" s="100">
        <v>4485000</v>
      </c>
      <c r="E56" s="100">
        <v>0</v>
      </c>
      <c r="F56" s="100">
        <v>0</v>
      </c>
      <c r="G56" s="100"/>
      <c r="I56" s="18"/>
      <c r="J56" s="18"/>
      <c r="K56" s="17"/>
      <c r="L56" s="17"/>
      <c r="M56" s="17"/>
      <c r="N56" s="17"/>
      <c r="O56" s="20"/>
      <c r="P56" s="20"/>
      <c r="Q56" s="17"/>
      <c r="R56" s="19"/>
      <c r="S56" s="19"/>
      <c r="T56" s="17"/>
      <c r="U56" s="20"/>
      <c r="V56" s="20"/>
      <c r="W56" s="17"/>
      <c r="X56" s="19"/>
      <c r="Y56" s="19"/>
      <c r="Z56" s="17"/>
      <c r="AA56" s="18"/>
      <c r="AB56" s="18"/>
      <c r="AC56" s="17"/>
      <c r="AD56" s="19">
        <v>1</v>
      </c>
      <c r="AE56" s="19">
        <v>10</v>
      </c>
      <c r="AF56" s="17">
        <f>AD56*AE56*(0.3*1150000)</f>
        <v>3450000</v>
      </c>
      <c r="AG56" s="19"/>
      <c r="AH56" s="19"/>
      <c r="AI56" s="17">
        <f>AG56*AH56*(0.3*1150000)</f>
        <v>0</v>
      </c>
      <c r="AJ56" s="18"/>
      <c r="AK56" s="18"/>
      <c r="AL56" s="18"/>
      <c r="AM56" s="18"/>
      <c r="AN56" s="18"/>
      <c r="AO56" s="17"/>
      <c r="AP56" s="19"/>
      <c r="AQ56" s="19"/>
      <c r="AR56" s="19"/>
      <c r="AS56" s="19"/>
      <c r="AT56" s="19"/>
      <c r="AU56" s="17"/>
      <c r="AV56" s="19"/>
      <c r="AW56" s="19"/>
      <c r="AX56" s="19"/>
      <c r="AY56" s="19"/>
      <c r="AZ56" s="19"/>
      <c r="BA56" s="17">
        <f t="shared" si="48"/>
        <v>0</v>
      </c>
      <c r="BB56" s="19"/>
      <c r="BC56" s="19"/>
      <c r="BD56" s="19"/>
      <c r="BE56" s="19"/>
      <c r="BF56" s="19"/>
      <c r="BG56" s="17">
        <f>((BB56*0.5*1150000)+(BC56*0.2*1150000)+(BD56*0.2*1150000)+(BE56*0.3*1150000))*BF56</f>
        <v>0</v>
      </c>
      <c r="BH56" s="18"/>
      <c r="BI56" s="18"/>
      <c r="BJ56" s="18"/>
      <c r="BK56" s="18"/>
      <c r="BL56" s="17"/>
      <c r="BM56" s="18"/>
      <c r="BN56" s="18"/>
      <c r="BO56" s="18"/>
      <c r="BP56" s="18"/>
      <c r="BQ56" s="17">
        <f>(BM56*600000*BP56)+(BN56*4125000/2)+(BO56*7000000)</f>
        <v>0</v>
      </c>
      <c r="BR56" s="18"/>
      <c r="BS56" s="18"/>
      <c r="BT56" s="18"/>
      <c r="BU56" s="18"/>
      <c r="BV56" s="18"/>
      <c r="BW56" s="18"/>
      <c r="BX56" s="17"/>
      <c r="BY56" s="18"/>
      <c r="BZ56" s="18"/>
      <c r="CA56" s="18"/>
      <c r="CB56" s="18"/>
      <c r="CC56" s="18"/>
      <c r="CD56" s="18"/>
      <c r="CE56" s="17"/>
      <c r="CF56" s="18"/>
      <c r="CG56" s="18"/>
      <c r="CH56" s="18"/>
      <c r="CI56" s="18"/>
      <c r="CJ56" s="18"/>
      <c r="CK56" s="18"/>
      <c r="CL56" s="17">
        <f>(CF56*CK56*300000)+(CG56*CK56*100000)+(CH56*CK56*100000)+(CI56*CK56*300000)+(CJ56*2000000/2)</f>
        <v>0</v>
      </c>
      <c r="CM56" s="18"/>
      <c r="CN56" s="18"/>
      <c r="CO56" s="18"/>
      <c r="CP56" s="18"/>
      <c r="CQ56" s="18"/>
      <c r="CR56" s="18"/>
      <c r="CS56" s="17"/>
      <c r="CT56" s="17"/>
      <c r="CU56" s="17"/>
      <c r="CV56" s="17"/>
      <c r="CW56" s="17"/>
      <c r="CX56" s="17"/>
      <c r="CY56" s="17"/>
      <c r="CZ56" s="17"/>
      <c r="DA56" s="18"/>
      <c r="DB56" s="18"/>
      <c r="DC56" s="18"/>
      <c r="DD56" s="18"/>
      <c r="DE56" s="18"/>
      <c r="DF56" s="18"/>
      <c r="DG56" s="17"/>
      <c r="DH56" s="16"/>
      <c r="DI56" s="16"/>
    </row>
    <row r="57" spans="1:113" s="15" customFormat="1" ht="21.75" customHeight="1">
      <c r="A57" s="98">
        <v>16</v>
      </c>
      <c r="B57" s="59" t="s">
        <v>37</v>
      </c>
      <c r="C57" s="99">
        <f t="shared" si="36"/>
        <v>7590000</v>
      </c>
      <c r="D57" s="100">
        <v>7590000</v>
      </c>
      <c r="E57" s="100">
        <v>0</v>
      </c>
      <c r="F57" s="100">
        <v>0</v>
      </c>
      <c r="G57" s="100"/>
      <c r="I57" s="18"/>
      <c r="J57" s="18"/>
      <c r="K57" s="17">
        <f>I57*J57*(0.5*1150000)</f>
        <v>0</v>
      </c>
      <c r="L57" s="17"/>
      <c r="M57" s="17"/>
      <c r="N57" s="17">
        <f>L57*M57*(0.5*1150000)</f>
        <v>0</v>
      </c>
      <c r="O57" s="20"/>
      <c r="P57" s="20"/>
      <c r="Q57" s="17">
        <f>O57*P57*(0.5*1150000)</f>
        <v>0</v>
      </c>
      <c r="R57" s="19"/>
      <c r="S57" s="19"/>
      <c r="T57" s="17"/>
      <c r="U57" s="17"/>
      <c r="V57" s="17"/>
      <c r="W57" s="17">
        <f>U57*V57*100000</f>
        <v>0</v>
      </c>
      <c r="X57" s="19"/>
      <c r="Y57" s="19"/>
      <c r="Z57" s="17">
        <f>X57*Y57*(0.3*1150000)</f>
        <v>0</v>
      </c>
      <c r="AA57" s="18"/>
      <c r="AB57" s="18"/>
      <c r="AC57" s="17">
        <f>AA57*AB57*(0.3*1150000)</f>
        <v>0</v>
      </c>
      <c r="AD57" s="19"/>
      <c r="AE57" s="19"/>
      <c r="AF57" s="17">
        <f>AD57*AE57*(0.3*1150000)</f>
        <v>0</v>
      </c>
      <c r="AG57" s="19"/>
      <c r="AH57" s="19"/>
      <c r="AI57" s="17">
        <f>AG57*AH57*(0.3*1150000)</f>
        <v>0</v>
      </c>
      <c r="AJ57" s="18"/>
      <c r="AK57" s="18"/>
      <c r="AL57" s="18"/>
      <c r="AM57" s="18"/>
      <c r="AN57" s="18"/>
      <c r="AO57" s="17"/>
      <c r="AP57" s="19"/>
      <c r="AQ57" s="19"/>
      <c r="AR57" s="19"/>
      <c r="AS57" s="19"/>
      <c r="AT57" s="19"/>
      <c r="AU57" s="17"/>
      <c r="AV57" s="19">
        <v>1</v>
      </c>
      <c r="AW57" s="19">
        <v>1</v>
      </c>
      <c r="AX57" s="19"/>
      <c r="AY57" s="19"/>
      <c r="AZ57" s="19">
        <v>3</v>
      </c>
      <c r="BA57" s="17">
        <f t="shared" si="48"/>
        <v>2415000</v>
      </c>
      <c r="BB57" s="19"/>
      <c r="BC57" s="19"/>
      <c r="BD57" s="19"/>
      <c r="BE57" s="19"/>
      <c r="BF57" s="19"/>
      <c r="BG57" s="17">
        <f>((BB57*0.5*1150000)+(BC57*0.2*1150000)+(BD57*0.2*1150000)+(BE57*0.3*1150000))*BF57</f>
        <v>0</v>
      </c>
      <c r="BH57" s="18"/>
      <c r="BI57" s="18"/>
      <c r="BJ57" s="18"/>
      <c r="BK57" s="18"/>
      <c r="BL57" s="17"/>
      <c r="BM57" s="18"/>
      <c r="BN57" s="18"/>
      <c r="BO57" s="18"/>
      <c r="BP57" s="18"/>
      <c r="BQ57" s="17">
        <f>(BM57*600000*BP57)+(BN57*4125000/2)+(BO57*7000000)</f>
        <v>0</v>
      </c>
      <c r="BR57" s="18"/>
      <c r="BS57" s="18"/>
      <c r="BT57" s="18"/>
      <c r="BU57" s="18"/>
      <c r="BV57" s="18"/>
      <c r="BW57" s="18"/>
      <c r="BX57" s="17"/>
      <c r="BY57" s="18"/>
      <c r="BZ57" s="18"/>
      <c r="CA57" s="18"/>
      <c r="CB57" s="18"/>
      <c r="CC57" s="18"/>
      <c r="CD57" s="18"/>
      <c r="CE57" s="17"/>
      <c r="CF57" s="18"/>
      <c r="CG57" s="18"/>
      <c r="CH57" s="18"/>
      <c r="CI57" s="18"/>
      <c r="CJ57" s="18"/>
      <c r="CK57" s="18"/>
      <c r="CL57" s="17">
        <f>(CF57*CK57*300000)+(CG57*CK57*100000)+(CH57*CK57*100000)+(CI57*CK57*300000)+(CJ57*2000000/2)</f>
        <v>0</v>
      </c>
      <c r="CM57" s="18"/>
      <c r="CN57" s="18"/>
      <c r="CO57" s="18"/>
      <c r="CP57" s="18"/>
      <c r="CQ57" s="18"/>
      <c r="CR57" s="18"/>
      <c r="CS57" s="17"/>
      <c r="CT57" s="17"/>
      <c r="CU57" s="17"/>
      <c r="CV57" s="17"/>
      <c r="CW57" s="17"/>
      <c r="CX57" s="17"/>
      <c r="CY57" s="17"/>
      <c r="CZ57" s="17">
        <f>(CT57*CY57*200000)+(CU57*CY57*100000)+(CV57*CY57*100000)+(CW57*CY57*300000)+(CX57*2500000/2)</f>
        <v>0</v>
      </c>
      <c r="DA57" s="18"/>
      <c r="DB57" s="18"/>
      <c r="DC57" s="18"/>
      <c r="DD57" s="18"/>
      <c r="DE57" s="18"/>
      <c r="DF57" s="18"/>
      <c r="DG57" s="17"/>
      <c r="DH57" s="16"/>
      <c r="DI57" s="16"/>
    </row>
    <row r="58" spans="1:113" s="15" customFormat="1" ht="21.75" customHeight="1">
      <c r="A58" s="98">
        <v>17</v>
      </c>
      <c r="B58" s="59" t="s">
        <v>152</v>
      </c>
      <c r="C58" s="99">
        <f t="shared" si="36"/>
        <v>5520000</v>
      </c>
      <c r="D58" s="100">
        <v>5520000</v>
      </c>
      <c r="E58" s="100">
        <v>0</v>
      </c>
      <c r="F58" s="100">
        <v>0</v>
      </c>
      <c r="G58" s="100"/>
      <c r="I58" s="18"/>
      <c r="J58" s="18"/>
      <c r="K58" s="17">
        <f>I58*J58*(0.5*1150000)</f>
        <v>0</v>
      </c>
      <c r="L58" s="20">
        <v>1</v>
      </c>
      <c r="M58" s="20">
        <v>5</v>
      </c>
      <c r="N58" s="17">
        <f>L58*M58*(0.5*1150000)+1000000</f>
        <v>3875000</v>
      </c>
      <c r="O58" s="20"/>
      <c r="P58" s="20"/>
      <c r="Q58" s="17">
        <f>O58*P58*(0.5*1150000)</f>
        <v>0</v>
      </c>
      <c r="R58" s="19"/>
      <c r="S58" s="19"/>
      <c r="T58" s="17">
        <f>R58*S58*100000</f>
        <v>0</v>
      </c>
      <c r="U58" s="17"/>
      <c r="V58" s="17"/>
      <c r="W58" s="17">
        <f>U58*V58*100000</f>
        <v>0</v>
      </c>
      <c r="X58" s="19"/>
      <c r="Y58" s="19"/>
      <c r="Z58" s="17">
        <f>X58*Y58*(0.3*1150000)</f>
        <v>0</v>
      </c>
      <c r="AA58" s="18"/>
      <c r="AB58" s="18"/>
      <c r="AC58" s="17">
        <f>AA58*AB58*(0.3*1150000)</f>
        <v>0</v>
      </c>
      <c r="AD58" s="19"/>
      <c r="AE58" s="19"/>
      <c r="AF58" s="17">
        <f>AD58*AE58*(0.3*1150000)</f>
        <v>0</v>
      </c>
      <c r="AG58" s="19"/>
      <c r="AH58" s="19"/>
      <c r="AI58" s="17">
        <f>AG58*AH58*(0.3*1150000)</f>
        <v>0</v>
      </c>
      <c r="AJ58" s="18"/>
      <c r="AK58" s="18"/>
      <c r="AL58" s="18"/>
      <c r="AM58" s="18"/>
      <c r="AN58" s="18"/>
      <c r="AO58" s="17">
        <f>((AJ58*200000)+(AK58*100000)+(AL58*100000)+(AM58*300000))*AN58</f>
        <v>0</v>
      </c>
      <c r="AP58" s="19"/>
      <c r="AQ58" s="19"/>
      <c r="AR58" s="19"/>
      <c r="AS58" s="19"/>
      <c r="AT58" s="19"/>
      <c r="AU58" s="17">
        <f>((AP58*200000)+(AQ58*100000)+(AR58*100000)+(AS58*300000))*AT58</f>
        <v>0</v>
      </c>
      <c r="AV58" s="19">
        <v>1</v>
      </c>
      <c r="AW58" s="19"/>
      <c r="AX58" s="19"/>
      <c r="AY58" s="19"/>
      <c r="AZ58" s="19">
        <v>3</v>
      </c>
      <c r="BA58" s="17">
        <f t="shared" si="48"/>
        <v>1725000</v>
      </c>
      <c r="BB58" s="19"/>
      <c r="BC58" s="19"/>
      <c r="BD58" s="19"/>
      <c r="BE58" s="19"/>
      <c r="BF58" s="19"/>
      <c r="BG58" s="17">
        <f>((BB58*0.5*1150000)+(BC58*0.2*1150000)+(BD58*0.2*1150000)+(BE58*0.3*1150000))*BF58</f>
        <v>0</v>
      </c>
      <c r="BH58" s="18"/>
      <c r="BI58" s="18"/>
      <c r="BJ58" s="18"/>
      <c r="BK58" s="18"/>
      <c r="BL58" s="17">
        <f>(BH58*800000*BK58)+(BI58*6062500/2)+(BJ58*15000000)</f>
        <v>0</v>
      </c>
      <c r="BM58" s="18"/>
      <c r="BN58" s="18"/>
      <c r="BO58" s="18"/>
      <c r="BP58" s="18"/>
      <c r="BQ58" s="17">
        <f>(BM58*600000*BP58)+(BN58*4125000/2)+(BO58*7000000)</f>
        <v>0</v>
      </c>
      <c r="BR58" s="18"/>
      <c r="BS58" s="18"/>
      <c r="BT58" s="18"/>
      <c r="BU58" s="18"/>
      <c r="BV58" s="18"/>
      <c r="BW58" s="18"/>
      <c r="BX58" s="17">
        <f>(BR58*BW58*300000)+(BS58*BW58*100000)+(BT58*BW58*100000)+(BU58*BW58*300000)+(BV58*2425000/2)</f>
        <v>0</v>
      </c>
      <c r="BY58" s="18"/>
      <c r="BZ58" s="18"/>
      <c r="CA58" s="18"/>
      <c r="CB58" s="18"/>
      <c r="CC58" s="18"/>
      <c r="CD58" s="18"/>
      <c r="CE58" s="17">
        <f>(BY58*CD58*300000)+(BZ58*CD58*100000)+(CA58*CD58*100000)+(CB58*CD58*300000)+(CC58*1400000/2)</f>
        <v>0</v>
      </c>
      <c r="CF58" s="18"/>
      <c r="CG58" s="18"/>
      <c r="CH58" s="18"/>
      <c r="CI58" s="18"/>
      <c r="CJ58" s="18"/>
      <c r="CK58" s="18"/>
      <c r="CL58" s="17">
        <f>(CF58*CK58*300000)+(CG58*CK58*100000)+(CH58*CK58*100000)+(CI58*CK58*300000)+(CJ58*2000000/2)</f>
        <v>0</v>
      </c>
      <c r="CM58" s="18"/>
      <c r="CN58" s="18"/>
      <c r="CO58" s="18"/>
      <c r="CP58" s="18"/>
      <c r="CQ58" s="18"/>
      <c r="CR58" s="18"/>
      <c r="CS58" s="17">
        <f>(CM58*CR58*300000)+(CN58*CR58*100000)+(CO58*CR58*100000)+(CP58*CR58*300000)+(CQ58*2200000/2)</f>
        <v>0</v>
      </c>
      <c r="CT58" s="17"/>
      <c r="CU58" s="17"/>
      <c r="CV58" s="17"/>
      <c r="CW58" s="17"/>
      <c r="CX58" s="17"/>
      <c r="CY58" s="17"/>
      <c r="CZ58" s="17">
        <f>(CT58*CY58*200000)+(CU58*CY58*100000)+(CV58*CY58*100000)+(CW58*CY58*300000)+(CX58*2500000/2)</f>
        <v>0</v>
      </c>
      <c r="DA58" s="18"/>
      <c r="DB58" s="18"/>
      <c r="DC58" s="18"/>
      <c r="DD58" s="18"/>
      <c r="DE58" s="18"/>
      <c r="DF58" s="18"/>
      <c r="DG58" s="17">
        <f>(DA58*DF58*300000)+(DB58*DF58*100000)+(DC58*DF58*100000)+(DD58*DF58*300000)+(DE58*2200000/2)</f>
        <v>0</v>
      </c>
      <c r="DH58" s="16"/>
      <c r="DI58" s="16"/>
    </row>
    <row r="59" spans="1:113" s="15" customFormat="1" ht="21.75" customHeight="1">
      <c r="A59" s="98">
        <v>18</v>
      </c>
      <c r="B59" s="101" t="s">
        <v>36</v>
      </c>
      <c r="C59" s="99">
        <f t="shared" si="36"/>
        <v>14950000</v>
      </c>
      <c r="D59" s="100">
        <v>14950000</v>
      </c>
      <c r="E59" s="100">
        <v>0</v>
      </c>
      <c r="F59" s="100">
        <v>0</v>
      </c>
      <c r="G59" s="100"/>
      <c r="I59" s="18"/>
      <c r="J59" s="18"/>
      <c r="K59" s="17">
        <f>I59*J59*(0.5*1150000)</f>
        <v>0</v>
      </c>
      <c r="L59" s="17"/>
      <c r="M59" s="17"/>
      <c r="N59" s="17">
        <f>L59*M59*(0.5*1150000)</f>
        <v>0</v>
      </c>
      <c r="O59" s="20"/>
      <c r="P59" s="20"/>
      <c r="Q59" s="17">
        <f>O59*P59*(0.5*1150000)</f>
        <v>0</v>
      </c>
      <c r="R59" s="19"/>
      <c r="S59" s="19"/>
      <c r="T59" s="17">
        <f>R59*S59*100000</f>
        <v>0</v>
      </c>
      <c r="U59" s="17"/>
      <c r="V59" s="17"/>
      <c r="W59" s="17">
        <f>U59*V59*100000</f>
        <v>0</v>
      </c>
      <c r="X59" s="19"/>
      <c r="Y59" s="19"/>
      <c r="Z59" s="17">
        <f>X59*Y59*(0.3*1150000)</f>
        <v>0</v>
      </c>
      <c r="AA59" s="18"/>
      <c r="AB59" s="18"/>
      <c r="AC59" s="17">
        <f>AA59*AB59*(0.3*1150000)</f>
        <v>0</v>
      </c>
      <c r="AD59" s="19"/>
      <c r="AE59" s="19"/>
      <c r="AF59" s="17">
        <f>AD59*AE59*(0.3*1150000)</f>
        <v>0</v>
      </c>
      <c r="AG59" s="19"/>
      <c r="AH59" s="19"/>
      <c r="AI59" s="17">
        <f>AG59*AH59*(0.3*1150000)</f>
        <v>0</v>
      </c>
      <c r="AJ59" s="18"/>
      <c r="AK59" s="18"/>
      <c r="AL59" s="18"/>
      <c r="AM59" s="18"/>
      <c r="AN59" s="18"/>
      <c r="AO59" s="17">
        <f>((AJ59*200000)+(AK59*100000)+(AL59*100000)+(AM59*300000))*AN59</f>
        <v>0</v>
      </c>
      <c r="AP59" s="19"/>
      <c r="AQ59" s="19"/>
      <c r="AR59" s="19"/>
      <c r="AS59" s="19"/>
      <c r="AT59" s="19"/>
      <c r="AU59" s="17">
        <f>((AP59*200000)+(AQ59*100000)+(AR59*100000)+(AS59*300000))*AT59</f>
        <v>0</v>
      </c>
      <c r="AV59" s="19">
        <v>2</v>
      </c>
      <c r="AW59" s="19"/>
      <c r="AX59" s="19"/>
      <c r="AY59" s="19"/>
      <c r="AZ59" s="19">
        <v>3</v>
      </c>
      <c r="BA59" s="17">
        <f t="shared" si="48"/>
        <v>3450000</v>
      </c>
      <c r="BB59" s="19"/>
      <c r="BC59" s="19"/>
      <c r="BD59" s="19"/>
      <c r="BE59" s="19"/>
      <c r="BF59" s="19"/>
      <c r="BG59" s="17">
        <f>((BB59*0.5*1150000)+(BC59*0.2*1150000)+(BD59*0.2*1150000)+(BE59*0.3*1150000))*BF59</f>
        <v>0</v>
      </c>
      <c r="BH59" s="18"/>
      <c r="BI59" s="18"/>
      <c r="BJ59" s="18"/>
      <c r="BK59" s="18"/>
      <c r="BL59" s="17">
        <f>(BH59*800000*BK59)+(BI59*6062500/2)+(BJ59*15000000)</f>
        <v>0</v>
      </c>
      <c r="BM59" s="18"/>
      <c r="BN59" s="18"/>
      <c r="BO59" s="18"/>
      <c r="BP59" s="18"/>
      <c r="BQ59" s="17">
        <f>(BM59*600000*BP59)+(BN59*4125000/2)+(BO59*7000000)</f>
        <v>0</v>
      </c>
      <c r="BR59" s="18"/>
      <c r="BS59" s="18"/>
      <c r="BT59" s="18"/>
      <c r="BU59" s="18"/>
      <c r="BV59" s="18"/>
      <c r="BW59" s="18"/>
      <c r="BX59" s="17">
        <f>(BR59*BW59*300000)+(BS59*BW59*100000)+(BT59*BW59*100000)+(BU59*BW59*300000)+(BV59*2425000/2)</f>
        <v>0</v>
      </c>
      <c r="BY59" s="18"/>
      <c r="BZ59" s="18"/>
      <c r="CA59" s="18"/>
      <c r="CB59" s="18"/>
      <c r="CC59" s="18"/>
      <c r="CD59" s="18"/>
      <c r="CE59" s="17">
        <f>(BY59*CD59*300000)+(BZ59*CD59*100000)+(CA59*CD59*100000)+(CB59*CD59*300000)+(CC59*1400000/2)</f>
        <v>0</v>
      </c>
      <c r="CF59" s="18"/>
      <c r="CG59" s="18"/>
      <c r="CH59" s="18"/>
      <c r="CI59" s="18"/>
      <c r="CJ59" s="18"/>
      <c r="CK59" s="18"/>
      <c r="CL59" s="17">
        <f>(CF59*CK59*300000)+(CG59*CK59*100000)+(CH59*CK59*100000)+(CI59*CK59*300000)+(CJ59*2000000/2)</f>
        <v>0</v>
      </c>
      <c r="CM59" s="18"/>
      <c r="CN59" s="18"/>
      <c r="CO59" s="18"/>
      <c r="CP59" s="18"/>
      <c r="CQ59" s="18"/>
      <c r="CR59" s="18"/>
      <c r="CS59" s="17">
        <f>(CM59*CR59*300000)+(CN59*CR59*100000)+(CO59*CR59*100000)+(CP59*CR59*300000)+(CQ59*2200000/2)</f>
        <v>0</v>
      </c>
      <c r="CT59" s="17"/>
      <c r="CU59" s="17"/>
      <c r="CV59" s="17"/>
      <c r="CW59" s="17"/>
      <c r="CX59" s="17"/>
      <c r="CY59" s="17"/>
      <c r="CZ59" s="17">
        <f>(CT59*CY59*200000)+(CU59*CY59*100000)+(CV59*CY59*100000)+(CW59*CY59*300000)+(CX59*2500000/2)</f>
        <v>0</v>
      </c>
      <c r="DA59" s="18"/>
      <c r="DB59" s="18"/>
      <c r="DC59" s="18"/>
      <c r="DD59" s="18"/>
      <c r="DE59" s="18"/>
      <c r="DF59" s="18"/>
      <c r="DG59" s="17">
        <f>(DA59*DF59*300000)+(DB59*DF59*100000)+(DC59*DF59*100000)+(DD59*DF59*300000)+(DE59*2200000/2)</f>
        <v>0</v>
      </c>
      <c r="DH59" s="16"/>
      <c r="DI59" s="16"/>
    </row>
    <row r="60" spans="1:113" s="11" customFormat="1" ht="33" customHeight="1">
      <c r="A60" s="98">
        <v>19</v>
      </c>
      <c r="B60" s="59" t="s">
        <v>35</v>
      </c>
      <c r="C60" s="99">
        <f t="shared" si="36"/>
        <v>1725000</v>
      </c>
      <c r="D60" s="100">
        <v>1725000</v>
      </c>
      <c r="E60" s="100">
        <v>0</v>
      </c>
      <c r="F60" s="100">
        <v>0</v>
      </c>
      <c r="G60" s="100"/>
      <c r="I60" s="13"/>
      <c r="J60" s="13"/>
      <c r="K60" s="14"/>
      <c r="L60" s="14"/>
      <c r="M60" s="14"/>
      <c r="N60" s="14"/>
      <c r="O60" s="14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48"/>
      <c r="DH60" s="49"/>
      <c r="DI60" s="12"/>
    </row>
    <row r="61" spans="1:7" ht="16.5">
      <c r="A61" s="98">
        <v>20</v>
      </c>
      <c r="B61" s="101" t="s">
        <v>34</v>
      </c>
      <c r="C61" s="99">
        <f t="shared" si="36"/>
        <v>14260000</v>
      </c>
      <c r="D61" s="100">
        <v>14260000</v>
      </c>
      <c r="E61" s="100">
        <v>0</v>
      </c>
      <c r="F61" s="100">
        <v>0</v>
      </c>
      <c r="G61" s="100"/>
    </row>
    <row r="62" spans="1:7" ht="16.5">
      <c r="A62" s="98">
        <v>21</v>
      </c>
      <c r="B62" s="59" t="s">
        <v>159</v>
      </c>
      <c r="C62" s="99">
        <f t="shared" si="36"/>
        <v>3680000</v>
      </c>
      <c r="D62" s="100">
        <v>3680000</v>
      </c>
      <c r="E62" s="100">
        <v>0</v>
      </c>
      <c r="F62" s="100">
        <v>0</v>
      </c>
      <c r="G62" s="100"/>
    </row>
    <row r="63" spans="1:7" ht="16.5">
      <c r="A63" s="98">
        <v>22</v>
      </c>
      <c r="B63" s="59" t="s">
        <v>120</v>
      </c>
      <c r="C63" s="99">
        <f t="shared" si="36"/>
        <v>3450000</v>
      </c>
      <c r="D63" s="100">
        <v>3450000</v>
      </c>
      <c r="E63" s="100">
        <v>0</v>
      </c>
      <c r="F63" s="100">
        <v>0</v>
      </c>
      <c r="G63" s="100"/>
    </row>
    <row r="64" spans="1:114" ht="30.75">
      <c r="A64" s="98">
        <v>23</v>
      </c>
      <c r="B64" s="59" t="s">
        <v>153</v>
      </c>
      <c r="C64" s="99">
        <f t="shared" si="36"/>
        <v>3680000</v>
      </c>
      <c r="D64" s="100">
        <v>3680000</v>
      </c>
      <c r="E64" s="100">
        <v>0</v>
      </c>
      <c r="F64" s="100">
        <v>0</v>
      </c>
      <c r="G64" s="100"/>
      <c r="DJ64" s="51"/>
    </row>
    <row r="65" spans="1:7" ht="16.5">
      <c r="A65" s="98">
        <v>24</v>
      </c>
      <c r="B65" s="101" t="s">
        <v>28</v>
      </c>
      <c r="C65" s="99">
        <f t="shared" si="36"/>
        <v>4715000</v>
      </c>
      <c r="D65" s="100">
        <v>4715000</v>
      </c>
      <c r="E65" s="100">
        <v>0</v>
      </c>
      <c r="F65" s="100">
        <v>0</v>
      </c>
      <c r="G65" s="100"/>
    </row>
    <row r="66" spans="1:7" ht="16.5">
      <c r="A66" s="98">
        <v>25</v>
      </c>
      <c r="B66" s="59" t="s">
        <v>33</v>
      </c>
      <c r="C66" s="99">
        <f t="shared" si="36"/>
        <v>2415000</v>
      </c>
      <c r="D66" s="100">
        <v>2415000</v>
      </c>
      <c r="E66" s="100">
        <v>0</v>
      </c>
      <c r="F66" s="100">
        <v>0</v>
      </c>
      <c r="G66" s="100"/>
    </row>
    <row r="67" spans="1:7" ht="34.5" customHeight="1">
      <c r="A67" s="98">
        <v>26</v>
      </c>
      <c r="B67" s="59" t="s">
        <v>154</v>
      </c>
      <c r="C67" s="99">
        <f t="shared" si="36"/>
        <v>6440000</v>
      </c>
      <c r="D67" s="100">
        <v>6440000</v>
      </c>
      <c r="E67" s="100">
        <v>0</v>
      </c>
      <c r="F67" s="100">
        <v>0</v>
      </c>
      <c r="G67" s="100"/>
    </row>
    <row r="68" spans="1:7" ht="16.5">
      <c r="A68" s="102">
        <v>27</v>
      </c>
      <c r="B68" s="103" t="s">
        <v>155</v>
      </c>
      <c r="C68" s="99">
        <f t="shared" si="36"/>
        <v>4715000</v>
      </c>
      <c r="D68" s="104">
        <v>4715000</v>
      </c>
      <c r="E68" s="104">
        <v>0</v>
      </c>
      <c r="F68" s="104">
        <v>0</v>
      </c>
      <c r="G68" s="104"/>
    </row>
    <row r="69" spans="1:7" ht="27" customHeight="1">
      <c r="A69" s="105"/>
      <c r="B69" s="156" t="s">
        <v>121</v>
      </c>
      <c r="C69" s="157">
        <f>C7+C26+C41</f>
        <v>789610500</v>
      </c>
      <c r="D69" s="157">
        <f>D7+D26+D41</f>
        <v>557290000</v>
      </c>
      <c r="E69" s="157">
        <f>E7+E26+E41</f>
        <v>208520500</v>
      </c>
      <c r="F69" s="157">
        <f>F7+F26+F41</f>
        <v>23800000</v>
      </c>
      <c r="G69" s="106"/>
    </row>
    <row r="70" ht="16.5">
      <c r="B70" s="6"/>
    </row>
    <row r="71" ht="16.5">
      <c r="B71" s="6"/>
    </row>
    <row r="72" ht="16.5">
      <c r="B72" s="6"/>
    </row>
    <row r="73" ht="16.5">
      <c r="B73" s="6"/>
    </row>
    <row r="74" ht="16.5">
      <c r="B74" s="6"/>
    </row>
    <row r="75" ht="16.5">
      <c r="B75" s="6"/>
    </row>
  </sheetData>
  <sheetProtection/>
  <mergeCells count="43">
    <mergeCell ref="B5:B6"/>
    <mergeCell ref="BB5:BG5"/>
    <mergeCell ref="AJ5:AO5"/>
    <mergeCell ref="O5:Q5"/>
    <mergeCell ref="B1:J1"/>
    <mergeCell ref="A2:K2"/>
    <mergeCell ref="A3:K3"/>
    <mergeCell ref="R5:T5"/>
    <mergeCell ref="L5:N5"/>
    <mergeCell ref="D5:F5"/>
    <mergeCell ref="C5:C6"/>
    <mergeCell ref="A5:A6"/>
    <mergeCell ref="F4:G4"/>
    <mergeCell ref="DP6:DQ6"/>
    <mergeCell ref="CT5:CZ5"/>
    <mergeCell ref="BH5:BL5"/>
    <mergeCell ref="BM5:BQ5"/>
    <mergeCell ref="DA5:DG5"/>
    <mergeCell ref="CM5:CS5"/>
    <mergeCell ref="CF5:CL5"/>
    <mergeCell ref="BR5:BX5"/>
    <mergeCell ref="DN6:DO6"/>
    <mergeCell ref="BY5:CE5"/>
    <mergeCell ref="EC5:EG5"/>
    <mergeCell ref="DK5:EA5"/>
    <mergeCell ref="DR6:DS6"/>
    <mergeCell ref="EB5:EB6"/>
    <mergeCell ref="DT6:DU6"/>
    <mergeCell ref="DV6:DW6"/>
    <mergeCell ref="DX6:DY6"/>
    <mergeCell ref="DZ6:EA6"/>
    <mergeCell ref="DK6:DK7"/>
    <mergeCell ref="DL6:DM6"/>
    <mergeCell ref="G28:G35"/>
    <mergeCell ref="X5:Z5"/>
    <mergeCell ref="AV5:BA5"/>
    <mergeCell ref="AA5:AC5"/>
    <mergeCell ref="AP5:AU5"/>
    <mergeCell ref="U5:W5"/>
    <mergeCell ref="AD5:AF5"/>
    <mergeCell ref="AG5:AI5"/>
    <mergeCell ref="I5:K5"/>
    <mergeCell ref="G5:G6"/>
  </mergeCells>
  <printOptions/>
  <pageMargins left="0.58" right="0.29" top="0.33" bottom="0.47244094488189" header="0.33" footer="0.196850393700787"/>
  <pageSetup horizontalDpi="600" verticalDpi="600" orientation="portrait" paperSize="9" scale="95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A3" sqref="A3:I3"/>
    </sheetView>
  </sheetViews>
  <sheetFormatPr defaultColWidth="9.140625" defaultRowHeight="12.75"/>
  <cols>
    <col min="1" max="1" width="5.00390625" style="107" customWidth="1"/>
    <col min="2" max="2" width="26.00390625" style="107" customWidth="1"/>
    <col min="3" max="3" width="29.28125" style="107" customWidth="1"/>
    <col min="4" max="4" width="32.28125" style="107" hidden="1" customWidth="1"/>
    <col min="5" max="5" width="8.7109375" style="107" hidden="1" customWidth="1"/>
    <col min="6" max="6" width="10.140625" style="107" hidden="1" customWidth="1"/>
    <col min="7" max="7" width="0.2890625" style="107" hidden="1" customWidth="1"/>
    <col min="8" max="8" width="20.57421875" style="107" customWidth="1"/>
    <col min="9" max="9" width="8.8515625" style="107" customWidth="1"/>
    <col min="10" max="10" width="10.140625" style="107" bestFit="1" customWidth="1"/>
    <col min="11" max="11" width="9.140625" style="107" customWidth="1"/>
    <col min="12" max="12" width="13.00390625" style="107" bestFit="1" customWidth="1"/>
    <col min="13" max="13" width="20.421875" style="107" customWidth="1"/>
    <col min="14" max="16384" width="9.140625" style="107" customWidth="1"/>
  </cols>
  <sheetData>
    <row r="1" spans="2:11" s="119" customFormat="1" ht="14.25" customHeight="1">
      <c r="B1" s="183" t="s">
        <v>164</v>
      </c>
      <c r="C1" s="183"/>
      <c r="D1" s="183"/>
      <c r="E1" s="183"/>
      <c r="F1" s="183"/>
      <c r="G1" s="183"/>
      <c r="H1" s="183"/>
      <c r="I1" s="183"/>
      <c r="J1" s="183"/>
      <c r="K1" s="122"/>
    </row>
    <row r="2" spans="1:12" s="119" customFormat="1" ht="36.75" customHeight="1">
      <c r="A2" s="184" t="s">
        <v>126</v>
      </c>
      <c r="B2" s="184"/>
      <c r="C2" s="184"/>
      <c r="D2" s="184"/>
      <c r="E2" s="184"/>
      <c r="F2" s="184"/>
      <c r="G2" s="184"/>
      <c r="H2" s="184"/>
      <c r="I2" s="184"/>
      <c r="J2" s="121"/>
      <c r="K2" s="121"/>
      <c r="L2" s="121"/>
    </row>
    <row r="3" spans="1:11" s="119" customFormat="1" ht="15">
      <c r="A3" s="179" t="s">
        <v>165</v>
      </c>
      <c r="B3" s="179"/>
      <c r="C3" s="179"/>
      <c r="D3" s="179"/>
      <c r="E3" s="179"/>
      <c r="F3" s="179"/>
      <c r="G3" s="179"/>
      <c r="H3" s="179"/>
      <c r="I3" s="179"/>
      <c r="J3" s="145"/>
      <c r="K3" s="145"/>
    </row>
    <row r="4" spans="1:11" s="119" customFormat="1" ht="15">
      <c r="A4" s="120"/>
      <c r="B4" s="120"/>
      <c r="C4" s="120"/>
      <c r="D4" s="120"/>
      <c r="E4" s="120"/>
      <c r="F4" s="120"/>
      <c r="H4" s="190" t="s">
        <v>127</v>
      </c>
      <c r="I4" s="190"/>
      <c r="J4" s="120"/>
      <c r="K4" s="120"/>
    </row>
    <row r="5" spans="1:9" s="117" customFormat="1" ht="66.75" customHeight="1">
      <c r="A5" s="116" t="s">
        <v>0</v>
      </c>
      <c r="B5" s="116" t="s">
        <v>107</v>
      </c>
      <c r="C5" s="116" t="s">
        <v>108</v>
      </c>
      <c r="D5" s="116" t="s">
        <v>109</v>
      </c>
      <c r="E5" s="186" t="s">
        <v>124</v>
      </c>
      <c r="F5" s="186"/>
      <c r="G5" s="186"/>
      <c r="H5" s="116" t="s">
        <v>141</v>
      </c>
      <c r="I5" s="116" t="s">
        <v>18</v>
      </c>
    </row>
    <row r="6" spans="1:9" s="117" customFormat="1" ht="50.25" customHeight="1">
      <c r="A6" s="116" t="s">
        <v>123</v>
      </c>
      <c r="B6" s="187" t="s">
        <v>122</v>
      </c>
      <c r="C6" s="188"/>
      <c r="D6" s="116"/>
      <c r="E6" s="116"/>
      <c r="F6" s="116"/>
      <c r="G6" s="118">
        <f>G7</f>
        <v>42550000</v>
      </c>
      <c r="H6" s="118">
        <f>H7</f>
        <v>42550000</v>
      </c>
      <c r="I6" s="116"/>
    </row>
    <row r="7" spans="1:9" ht="61.5" customHeight="1">
      <c r="A7" s="132">
        <v>1</v>
      </c>
      <c r="B7" s="146" t="s">
        <v>30</v>
      </c>
      <c r="C7" s="150" t="s">
        <v>139</v>
      </c>
      <c r="D7" s="133" t="s">
        <v>113</v>
      </c>
      <c r="E7" s="132">
        <v>150</v>
      </c>
      <c r="F7" s="132" t="s">
        <v>111</v>
      </c>
      <c r="G7" s="134">
        <v>42550000</v>
      </c>
      <c r="H7" s="134">
        <f>G7</f>
        <v>42550000</v>
      </c>
      <c r="I7" s="135"/>
    </row>
    <row r="8" spans="1:9" ht="42.75" customHeight="1">
      <c r="A8" s="116" t="s">
        <v>116</v>
      </c>
      <c r="B8" s="189" t="s">
        <v>42</v>
      </c>
      <c r="C8" s="189"/>
      <c r="D8" s="113"/>
      <c r="E8" s="112"/>
      <c r="F8" s="112"/>
      <c r="G8" s="115">
        <f>G9</f>
        <v>20000000</v>
      </c>
      <c r="H8" s="115">
        <f>H9</f>
        <v>20000000</v>
      </c>
      <c r="I8" s="114"/>
    </row>
    <row r="9" spans="1:9" ht="45.75" customHeight="1">
      <c r="A9" s="132">
        <v>1</v>
      </c>
      <c r="B9" s="146" t="s">
        <v>38</v>
      </c>
      <c r="C9" s="151" t="s">
        <v>125</v>
      </c>
      <c r="D9" s="133"/>
      <c r="E9" s="132"/>
      <c r="F9" s="132"/>
      <c r="G9" s="134">
        <v>20000000</v>
      </c>
      <c r="H9" s="134">
        <v>20000000</v>
      </c>
      <c r="I9" s="135"/>
    </row>
    <row r="10" spans="1:9" ht="35.25" customHeight="1">
      <c r="A10" s="116" t="s">
        <v>116</v>
      </c>
      <c r="B10" s="189" t="s">
        <v>160</v>
      </c>
      <c r="C10" s="189"/>
      <c r="D10" s="113"/>
      <c r="E10" s="112"/>
      <c r="F10" s="112"/>
      <c r="G10" s="115">
        <f>SUM(G11:G17)</f>
        <v>730300000</v>
      </c>
      <c r="H10" s="115">
        <f>SUM(H11:H17)</f>
        <v>670000000</v>
      </c>
      <c r="I10" s="114"/>
    </row>
    <row r="11" spans="1:9" ht="36.75" customHeight="1">
      <c r="A11" s="129">
        <v>1</v>
      </c>
      <c r="B11" s="147" t="s">
        <v>131</v>
      </c>
      <c r="C11" s="152" t="s">
        <v>138</v>
      </c>
      <c r="D11" s="130" t="s">
        <v>112</v>
      </c>
      <c r="E11" s="129">
        <f>2*100</f>
        <v>200</v>
      </c>
      <c r="F11" s="129" t="s">
        <v>110</v>
      </c>
      <c r="G11" s="131">
        <v>100000000</v>
      </c>
      <c r="H11" s="131">
        <f>G11</f>
        <v>100000000</v>
      </c>
      <c r="I11" s="136"/>
    </row>
    <row r="12" spans="1:9" ht="51" customHeight="1">
      <c r="A12" s="123">
        <v>2</v>
      </c>
      <c r="B12" s="148" t="s">
        <v>16</v>
      </c>
      <c r="C12" s="153" t="s">
        <v>137</v>
      </c>
      <c r="D12" s="124"/>
      <c r="E12" s="123"/>
      <c r="F12" s="123"/>
      <c r="G12" s="125">
        <v>90000000</v>
      </c>
      <c r="H12" s="125">
        <f>G12</f>
        <v>90000000</v>
      </c>
      <c r="I12" s="126"/>
    </row>
    <row r="13" spans="1:9" ht="48" customHeight="1">
      <c r="A13" s="123">
        <v>3</v>
      </c>
      <c r="B13" s="148" t="s">
        <v>14</v>
      </c>
      <c r="C13" s="153" t="s">
        <v>132</v>
      </c>
      <c r="D13" s="124"/>
      <c r="E13" s="123"/>
      <c r="F13" s="123"/>
      <c r="G13" s="125">
        <v>260300000</v>
      </c>
      <c r="H13" s="125">
        <v>200000000</v>
      </c>
      <c r="I13" s="126"/>
    </row>
    <row r="14" spans="1:9" ht="51.75" customHeight="1">
      <c r="A14" s="123">
        <v>4</v>
      </c>
      <c r="B14" s="148" t="s">
        <v>129</v>
      </c>
      <c r="C14" s="153" t="s">
        <v>133</v>
      </c>
      <c r="D14" s="124"/>
      <c r="E14" s="123"/>
      <c r="F14" s="123"/>
      <c r="G14" s="127">
        <v>90000000</v>
      </c>
      <c r="H14" s="125">
        <f>G14</f>
        <v>90000000</v>
      </c>
      <c r="I14" s="126"/>
    </row>
    <row r="15" spans="1:9" ht="48.75" customHeight="1">
      <c r="A15" s="123">
        <v>5</v>
      </c>
      <c r="B15" s="148" t="s">
        <v>13</v>
      </c>
      <c r="C15" s="153" t="s">
        <v>134</v>
      </c>
      <c r="D15" s="124"/>
      <c r="E15" s="123"/>
      <c r="F15" s="123"/>
      <c r="G15" s="128">
        <v>70000000</v>
      </c>
      <c r="H15" s="125">
        <f>G15</f>
        <v>70000000</v>
      </c>
      <c r="I15" s="126"/>
    </row>
    <row r="16" spans="1:9" ht="48.75" customHeight="1">
      <c r="A16" s="123">
        <v>6</v>
      </c>
      <c r="B16" s="148" t="s">
        <v>128</v>
      </c>
      <c r="C16" s="153" t="s">
        <v>135</v>
      </c>
      <c r="D16" s="124"/>
      <c r="E16" s="123"/>
      <c r="F16" s="123"/>
      <c r="G16" s="128">
        <v>60000000</v>
      </c>
      <c r="H16" s="125">
        <f>G16</f>
        <v>60000000</v>
      </c>
      <c r="I16" s="126"/>
    </row>
    <row r="17" spans="1:9" ht="48.75" customHeight="1">
      <c r="A17" s="137">
        <v>7</v>
      </c>
      <c r="B17" s="149" t="s">
        <v>4</v>
      </c>
      <c r="C17" s="154" t="s">
        <v>136</v>
      </c>
      <c r="D17" s="138"/>
      <c r="E17" s="137"/>
      <c r="F17" s="137"/>
      <c r="G17" s="139">
        <v>60000000</v>
      </c>
      <c r="H17" s="140">
        <f>G17</f>
        <v>60000000</v>
      </c>
      <c r="I17" s="141"/>
    </row>
    <row r="18" spans="1:12" ht="31.5" customHeight="1">
      <c r="A18" s="185" t="s">
        <v>114</v>
      </c>
      <c r="B18" s="185"/>
      <c r="C18" s="185"/>
      <c r="D18" s="111"/>
      <c r="E18" s="110">
        <f>SUM(E7:E17)</f>
        <v>350</v>
      </c>
      <c r="F18" s="110"/>
      <c r="G18" s="110">
        <f>G10+G6+G8</f>
        <v>792850000</v>
      </c>
      <c r="H18" s="110">
        <f>H10+H6+H8</f>
        <v>732550000</v>
      </c>
      <c r="I18" s="110"/>
      <c r="L18" s="108"/>
    </row>
    <row r="23" ht="18">
      <c r="I23" s="109"/>
    </row>
    <row r="24" ht="18">
      <c r="I24" s="109"/>
    </row>
    <row r="25" ht="18">
      <c r="I25" s="109"/>
    </row>
    <row r="26" ht="18">
      <c r="I26" s="108"/>
    </row>
  </sheetData>
  <sheetProtection/>
  <mergeCells count="9">
    <mergeCell ref="B1:J1"/>
    <mergeCell ref="A2:I2"/>
    <mergeCell ref="A3:I3"/>
    <mergeCell ref="A18:C18"/>
    <mergeCell ref="E5:G5"/>
    <mergeCell ref="B6:C6"/>
    <mergeCell ref="B10:C10"/>
    <mergeCell ref="B8:C8"/>
    <mergeCell ref="H4:I4"/>
  </mergeCells>
  <printOptions/>
  <pageMargins left="0.75" right="0.25" top="0.2" bottom="0" header="0.2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2015-10-27T10:18:26Z</cp:lastPrinted>
  <dcterms:created xsi:type="dcterms:W3CDTF">2010-08-03T07:42:41Z</dcterms:created>
  <dcterms:modified xsi:type="dcterms:W3CDTF">2015-10-30T03:20:31Z</dcterms:modified>
  <cp:category/>
  <cp:version/>
  <cp:contentType/>
  <cp:contentStatus/>
</cp:coreProperties>
</file>