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biểu 1" sheetId="1" r:id="rId1"/>
    <sheet name="biểu 2" sheetId="2" r:id="rId2"/>
    <sheet name="biểu 3 (2)" sheetId="3" r:id="rId3"/>
    <sheet name="biểu 2 (2)" sheetId="4" r:id="rId4"/>
    <sheet name="biểu 2 (3)" sheetId="5" r:id="rId5"/>
  </sheets>
  <externalReferences>
    <externalReference r:id="rId8"/>
    <externalReference r:id="rId9"/>
    <externalReference r:id="rId10"/>
  </externalReferences>
  <definedNames>
    <definedName name="_xlnm.Print_Titles" localSheetId="0">'biểu 1'!$7:$8</definedName>
    <definedName name="_xlnm.Print_Titles" localSheetId="1">'biểu 2'!$4:$4</definedName>
    <definedName name="_xlnm.Print_Titles" localSheetId="3">'biểu 2 (2)'!$5:$5</definedName>
    <definedName name="_xlnm.Print_Titles" localSheetId="4">'biểu 2 (3)'!$5:$5</definedName>
  </definedNames>
  <calcPr fullCalcOnLoad="1"/>
</workbook>
</file>

<file path=xl/sharedStrings.xml><?xml version="1.0" encoding="utf-8"?>
<sst xmlns="http://schemas.openxmlformats.org/spreadsheetml/2006/main" count="363" uniqueCount="153">
  <si>
    <t>TT</t>
  </si>
  <si>
    <t>Hạng mục</t>
  </si>
  <si>
    <t>ĐVT</t>
  </si>
  <si>
    <t>Khối lượng</t>
  </si>
  <si>
    <t>Định mức</t>
  </si>
  <si>
    <t>Công</t>
  </si>
  <si>
    <t>Đơn giá</t>
  </si>
  <si>
    <t>A</t>
  </si>
  <si>
    <t>Chi phí trồng rừng</t>
  </si>
  <si>
    <t>I</t>
  </si>
  <si>
    <t>Chi phí trực tiếp</t>
  </si>
  <si>
    <t>Xử lý thực bì</t>
  </si>
  <si>
    <t>Đào hố</t>
  </si>
  <si>
    <t>Lấp hố</t>
  </si>
  <si>
    <t>Vận chuyển, bón phân</t>
  </si>
  <si>
    <t xml:space="preserve">Vận chuyển và trồng cây </t>
  </si>
  <si>
    <t>Chi phí nhân công</t>
  </si>
  <si>
    <t>Vật tư</t>
  </si>
  <si>
    <t>Cây giống</t>
  </si>
  <si>
    <t xml:space="preserve"> - Lát hoa</t>
  </si>
  <si>
    <t xml:space="preserve"> - Lim xanh</t>
  </si>
  <si>
    <t>Phân bón (NPK)</t>
  </si>
  <si>
    <t>Bảo vệ</t>
  </si>
  <si>
    <r>
      <t>Cuốc, xới cục bộ quang hố 1m</t>
    </r>
    <r>
      <rPr>
        <vertAlign val="superscript"/>
        <sz val="11"/>
        <color indexed="8"/>
        <rFont val="Times New Roman"/>
        <family val="1"/>
      </rPr>
      <t>2</t>
    </r>
  </si>
  <si>
    <r>
      <t>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/công</t>
    </r>
  </si>
  <si>
    <t>hố/công</t>
  </si>
  <si>
    <t>cây/công</t>
  </si>
  <si>
    <t>cây</t>
  </si>
  <si>
    <t>kg</t>
  </si>
  <si>
    <t>ha</t>
  </si>
  <si>
    <t>II</t>
  </si>
  <si>
    <t>B</t>
  </si>
  <si>
    <t>Chăm sóc rừng</t>
  </si>
  <si>
    <t>Xử lý thực bì lần 1</t>
  </si>
  <si>
    <t>Xử lý thực bì lần 2</t>
  </si>
  <si>
    <r>
      <t>Dẫy cỏ, xới gốc 1 m</t>
    </r>
    <r>
      <rPr>
        <vertAlign val="superscript"/>
        <sz val="11"/>
        <color indexed="8"/>
        <rFont val="Times New Roman"/>
        <family val="1"/>
      </rPr>
      <t>2</t>
    </r>
  </si>
  <si>
    <t xml:space="preserve"> Đào hố</t>
  </si>
  <si>
    <t xml:space="preserve"> Lấp hố</t>
  </si>
  <si>
    <t>Vận chuyển và bón phân</t>
  </si>
  <si>
    <t>Vận chuyển và trồng dặm</t>
  </si>
  <si>
    <t>Phân NPK</t>
  </si>
  <si>
    <t>hố</t>
  </si>
  <si>
    <t>III</t>
  </si>
  <si>
    <t>IV</t>
  </si>
  <si>
    <t>C</t>
  </si>
  <si>
    <t>Chi phí nhân công QLBV 1 năm</t>
  </si>
  <si>
    <t>Tổng cộng công trình tính cho 1 ha (trồng rừng + chăm sóc 4 năm + QLBV 5 năm)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</si>
  <si>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</si>
  <si>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 xml:space="preserve">Căn cứ lập dự toán: </t>
  </si>
  <si>
    <t xml:space="preserve"> - Thực bì cấp 4, đất cấp 2, cự ly đi làm: 4000m-5000m.</t>
  </si>
  <si>
    <t xml:space="preserve">Hạng mục </t>
  </si>
  <si>
    <t>Đơn giá
(đồng)</t>
  </si>
  <si>
    <t>Trồng rừng</t>
  </si>
  <si>
    <t>-</t>
  </si>
  <si>
    <t>2.1</t>
  </si>
  <si>
    <t>2.2</t>
  </si>
  <si>
    <t>2.3</t>
  </si>
  <si>
    <t>2.4</t>
  </si>
  <si>
    <t>Tổng chi phí</t>
  </si>
  <si>
    <t>Tổng cộng (1+2+3)</t>
  </si>
  <si>
    <t>Năm thực hiện</t>
  </si>
  <si>
    <t>Tổng cộng</t>
  </si>
  <si>
    <t xml:space="preserve">Năm </t>
  </si>
  <si>
    <t>Chi phí vật tư</t>
  </si>
  <si>
    <t>Phân bón</t>
  </si>
  <si>
    <t>Năm 2: Chăm sóc</t>
  </si>
  <si>
    <t>Năm 3: Chăm sóc</t>
  </si>
  <si>
    <t>Năm 4: Chăm sóc</t>
  </si>
  <si>
    <t>Năm 5: Chăm sóc</t>
  </si>
  <si>
    <t>Năm 6: Bảo vệ</t>
  </si>
  <si>
    <t>Năm 7: Bảo vệ</t>
  </si>
  <si>
    <t>Năm 8: Bảo vệ</t>
  </si>
  <si>
    <t>Năm 9: Bảo vệ</t>
  </si>
  <si>
    <t>Năm 10: Bảo vệ</t>
  </si>
  <si>
    <t>Tổng (I+II)</t>
  </si>
  <si>
    <t>*</t>
  </si>
  <si>
    <t>V</t>
  </si>
  <si>
    <t>VI</t>
  </si>
  <si>
    <t>VII</t>
  </si>
  <si>
    <t>VIII</t>
  </si>
  <si>
    <t>IX</t>
  </si>
  <si>
    <t>Tổng dự toán
 cho 1 ha</t>
  </si>
  <si>
    <t>Chi phí chung: 
5%*(III)</t>
  </si>
  <si>
    <t>Thuế giá trị gia tăng:
 5%*(III+IV+V)</t>
  </si>
  <si>
    <t>Chi phí tư vấn ĐT XD
:7,875%*(III+IV+V+VI)</t>
  </si>
  <si>
    <t>Thu nhập chịu thuế
 tính trước:5,5*(III+IV)</t>
  </si>
  <si>
    <t>Năm 1 : Trồng rừng</t>
  </si>
  <si>
    <t>QLBV rừng Năm 6- Năm 10</t>
  </si>
  <si>
    <t>Chi phí dự phòng</t>
  </si>
  <si>
    <t>Dự phòng khối lượng</t>
  </si>
  <si>
    <t>Dự phòng giá</t>
  </si>
  <si>
    <t>"</t>
  </si>
  <si>
    <t>Tỷ lệ dự phòng giá</t>
  </si>
  <si>
    <t>Tỷ lệ d/phòng khối lượng</t>
  </si>
  <si>
    <t xml:space="preserve">TRỒNG THAY THẾ ĐỐI VỚI DIỆN TÍCH RỪNG PHÒNG HỘ CHUYỂN MỤC ĐÍCH  </t>
  </si>
  <si>
    <t>SỬ DỤNG XÂY DỰNG CÔNG TRÌNH THỦY ĐIỆN SÔNG BUNG 2</t>
  </si>
  <si>
    <t>Tổng dự toán
 cho 268,10 ha</t>
  </si>
  <si>
    <t>Năm thứ  nhất (2016)</t>
  </si>
  <si>
    <t>Năm thứ 2 (2017)</t>
  </si>
  <si>
    <t>Năm thứ 3 (2018)</t>
  </si>
  <si>
    <t>Năm thứ 4 (2019)</t>
  </si>
  <si>
    <t>Chăm sóc năm thứ nhất (2016)</t>
  </si>
  <si>
    <t>Chăm sóc năm thứ 2 (2017)</t>
  </si>
  <si>
    <t>Chăm sóc năm thứ 3 (2018)</t>
  </si>
  <si>
    <t>Chăm sóc năm thứ 4 (2019)</t>
  </si>
  <si>
    <t>Quản lý bảo vệ rừng 5 năm  (2020 đến 2024)</t>
  </si>
  <si>
    <t xml:space="preserve"> - Lương công nhân trồng rừng bậc 3, hệ số 2,56. Lương lao động kỹ thuật: Kỹ sư bậc 4, hệ số 3,33. Phụ cấp khu vực: 0,7</t>
  </si>
  <si>
    <t>Chỉ số lạm phát</t>
  </si>
  <si>
    <t>Chi phí dự phòng: 10%</t>
  </si>
  <si>
    <t xml:space="preserve"> - Lim xanh </t>
  </si>
  <si>
    <t>Cây</t>
  </si>
  <si>
    <t xml:space="preserve"> - Độ dốc &gt; 25 độ. Hệ số áp dụng: 0,81</t>
  </si>
  <si>
    <r>
      <t>Loài cây trồng:</t>
    </r>
    <r>
      <rPr>
        <sz val="14"/>
        <color indexed="8"/>
        <rFont val="Times New Roman"/>
        <family val="1"/>
      </rPr>
      <t xml:space="preserve"> Lim xanh, Lát hoa; Mật độ trồng: 1333 cây/ha; mô hình trồng rừng: Hỗn giao</t>
    </r>
  </si>
  <si>
    <r>
      <t>Địa điểm trồng rừng:</t>
    </r>
    <r>
      <rPr>
        <sz val="14"/>
        <color indexed="8"/>
        <rFont val="Times New Roman"/>
        <family val="1"/>
      </rPr>
      <t xml:space="preserve"> Thuộc khoảnh 1 tiểu khu 347 xã La Dêê, khoảnh 11 tiểu khu 224,
 khoảnh 7 tiểu khu 225 xã La Êê, khoảnh 6 tiểu khu 333, khoảnh 2 tiểu khu 337 xã Chà Val,
 khoảnh 7, 8 tiểu khu 282 xã Zuôich huyện Nam Giang, Quảng Nam.</t>
    </r>
  </si>
  <si>
    <t>Đơn vị tính: VN đồng</t>
  </si>
  <si>
    <t>Chi phí chung 5% X (II)</t>
  </si>
  <si>
    <t>Thu nhập chịu thuế tính trước 5,5% X (II + III)</t>
  </si>
  <si>
    <t>Thuế giá trị gia tăng 5% X (II+III+IV)</t>
  </si>
  <si>
    <t>Chi phí quản lý dự án 2,125% X (II+III+IV+V)</t>
  </si>
  <si>
    <t>Chi phí tư vấn đầu tư xây dựng 7,875% X (II+III+IV+V)</t>
  </si>
  <si>
    <t>Chi phí QLDA:
2,125%*(III+IV+V+VI)</t>
  </si>
  <si>
    <t>Huyện Nam Giang</t>
  </si>
  <si>
    <t>Huyện Tây Giang</t>
  </si>
  <si>
    <t>Dự toán cho 1 ha</t>
  </si>
  <si>
    <t>Tổng dự toán cho 268,10 ha</t>
  </si>
  <si>
    <t>Tổng chi phí làm tròn số</t>
  </si>
  <si>
    <t>BQL rừng phòng hộ
 Nam Sông Bung</t>
  </si>
  <si>
    <t>UBND huyện
 Nam Giang</t>
  </si>
  <si>
    <t>BQL rừng phòng hộ
 Bắc Sông Bung</t>
  </si>
  <si>
    <t>UBND huyện
 Tây Giang</t>
  </si>
  <si>
    <t>Diện tích 268,10 ha</t>
  </si>
  <si>
    <t>Diện tích 104,14 ha</t>
  </si>
  <si>
    <t>Diện tích 51,25 ha</t>
  </si>
  <si>
    <t>Diện tích 21,17 ha</t>
  </si>
  <si>
    <t>Tổng diện tích 
444,66 ha</t>
  </si>
  <si>
    <t>Rừng phòng hộ 268,10 ha</t>
  </si>
  <si>
    <t>Rừng sản xuất
 104,14 ha</t>
  </si>
  <si>
    <t>Rừng phòng hộ 51,25 ha</t>
  </si>
  <si>
    <t>Rừng sản xuất
 21,17 ha</t>
  </si>
  <si>
    <t>Tổng cộng
 444,66 ha</t>
  </si>
  <si>
    <t>Chi phí lập phương án 0,423% của II</t>
  </si>
  <si>
    <t>Thẩm định phương án 0,063% của II</t>
  </si>
  <si>
    <t>Chi phí quản lý cho các nội dung còn lại quy định theo Thông tư 69</t>
  </si>
  <si>
    <t>Ghi chú:</t>
  </si>
  <si>
    <t>Chi phí lập phương án 0,423% của II nội suy từ bảng số 2 của Quyết định 957/QĐ-BXD ngày 29/9/2009</t>
  </si>
  <si>
    <t>Thẩm định phương án 0,063% của II nội suy từ bảng số 14 của Quyết định 957/QĐ-BXD ngày 29/9/2009</t>
  </si>
  <si>
    <t>Chi phí quản lý cho các nội dung còn lại quy
 định theo Thông tư 69</t>
  </si>
  <si>
    <t>Biểu 01 a
  DỰ TOÁN CHÍ PHÍ TRỒNG, CHĂM SÓC VÀ QUẢN LÝ BẢO VỆ RỪNG</t>
  </si>
  <si>
    <t>Biểu 01 b
  TỔNG HỢP DỰ TOÁN ĐẦU TƯ</t>
  </si>
  <si>
    <t>Biểu 01 c
  KẾ HOẠCH  CHI PHÍ ĐẦU TƯ  268,10 HA</t>
  </si>
  <si>
    <t>Biểu 05
  TỔNG HỢP DỰ TOÁN ĐẦU TƯ THEO HUYỆN</t>
  </si>
  <si>
    <t>Biểu 06
 TỔNG HỢP DIỆN TÍCH - DỰ TOÁN THEO CHỦ ĐẦU TƯ</t>
  </si>
  <si>
    <t>(Kèm theo Quyết định số     1518  /QĐ-UBND ngày  27 tháng 4 năm 2015 của của UBND tỉnh Quảng Nam)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</si>
</sst>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#,##0.000000"/>
    <numFmt numFmtId="178" formatCode="0.00000"/>
    <numFmt numFmtId="179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9"/>
      <name val="Cambria"/>
      <family val="1"/>
    </font>
    <font>
      <sz val="9"/>
      <name val="Times New Roman"/>
      <family val="1"/>
    </font>
    <font>
      <sz val="9"/>
      <name val="Cambria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8" fontId="8" fillId="0" borderId="12" xfId="42" applyNumberFormat="1" applyFont="1" applyBorder="1" applyAlignment="1">
      <alignment horizontal="center" vertical="center" wrapText="1"/>
    </xf>
    <xf numFmtId="3" fontId="7" fillId="0" borderId="12" xfId="43" applyNumberFormat="1" applyFont="1" applyBorder="1" applyAlignment="1">
      <alignment vertical="center"/>
    </xf>
    <xf numFmtId="173" fontId="8" fillId="0" borderId="12" xfId="43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justify" vertical="center" wrapText="1"/>
    </xf>
    <xf numFmtId="0" fontId="8" fillId="32" borderId="17" xfId="0" applyFont="1" applyFill="1" applyBorder="1" applyAlignment="1">
      <alignment horizontal="center" vertical="center" wrapText="1"/>
    </xf>
    <xf numFmtId="38" fontId="8" fillId="0" borderId="17" xfId="42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7" xfId="43" applyNumberFormat="1" applyFont="1" applyBorder="1" applyAlignment="1">
      <alignment vertical="center"/>
    </xf>
    <xf numFmtId="2" fontId="7" fillId="0" borderId="12" xfId="0" applyNumberFormat="1" applyFont="1" applyBorder="1" applyAlignment="1">
      <alignment horizontal="center" vertical="center" wrapText="1"/>
    </xf>
    <xf numFmtId="173" fontId="8" fillId="0" borderId="17" xfId="43" applyNumberFormat="1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38" fontId="7" fillId="0" borderId="12" xfId="42" applyNumberFormat="1" applyFont="1" applyBorder="1" applyAlignment="1">
      <alignment horizontal="center" vertical="center" wrapText="1"/>
    </xf>
    <xf numFmtId="173" fontId="7" fillId="0" borderId="12" xfId="4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1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justify" vertical="center" wrapText="1"/>
    </xf>
    <xf numFmtId="0" fontId="8" fillId="32" borderId="20" xfId="0" applyFont="1" applyFill="1" applyBorder="1" applyAlignment="1">
      <alignment horizontal="center" vertical="center" wrapText="1"/>
    </xf>
    <xf numFmtId="38" fontId="8" fillId="0" borderId="20" xfId="42" applyNumberFormat="1" applyFont="1" applyBorder="1" applyAlignment="1">
      <alignment horizontal="center" vertical="center" wrapText="1"/>
    </xf>
    <xf numFmtId="2" fontId="8" fillId="0" borderId="20" xfId="43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0" xfId="43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3" fontId="8" fillId="0" borderId="12" xfId="43" applyNumberFormat="1" applyFont="1" applyBorder="1" applyAlignment="1">
      <alignment vertical="center"/>
    </xf>
    <xf numFmtId="173" fontId="8" fillId="0" borderId="20" xfId="43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3" fontId="2" fillId="0" borderId="2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3" fontId="14" fillId="0" borderId="16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14" fillId="0" borderId="18" xfId="0" applyNumberFormat="1" applyFont="1" applyBorder="1" applyAlignment="1">
      <alignment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/>
    </xf>
    <xf numFmtId="0" fontId="24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9" fontId="27" fillId="0" borderId="20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26" fillId="0" borderId="20" xfId="0" applyFont="1" applyBorder="1" applyAlignment="1">
      <alignment horizontal="left"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3" fontId="28" fillId="0" borderId="11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wrapText="1"/>
    </xf>
    <xf numFmtId="3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3" fontId="28" fillId="0" borderId="12" xfId="0" applyNumberFormat="1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justify" vertical="center" wrapText="1"/>
    </xf>
    <xf numFmtId="3" fontId="31" fillId="0" borderId="20" xfId="0" applyNumberFormat="1" applyFont="1" applyBorder="1" applyAlignment="1">
      <alignment vertical="center"/>
    </xf>
    <xf numFmtId="3" fontId="30" fillId="0" borderId="20" xfId="0" applyNumberFormat="1" applyFont="1" applyBorder="1" applyAlignment="1">
      <alignment horizontal="right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horizontal="justify" vertical="center" wrapText="1"/>
    </xf>
    <xf numFmtId="3" fontId="30" fillId="0" borderId="29" xfId="0" applyNumberFormat="1" applyFont="1" applyBorder="1" applyAlignment="1">
      <alignment horizontal="right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30" xfId="0" applyFont="1" applyBorder="1" applyAlignment="1">
      <alignment horizontal="justify" vertical="center" wrapText="1"/>
    </xf>
    <xf numFmtId="3" fontId="30" fillId="0" borderId="30" xfId="0" applyNumberFormat="1" applyFont="1" applyBorder="1" applyAlignment="1">
      <alignment horizontal="right"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justify" vertical="center" wrapText="1"/>
    </xf>
    <xf numFmtId="3" fontId="31" fillId="0" borderId="31" xfId="0" applyNumberFormat="1" applyFont="1" applyBorder="1" applyAlignment="1">
      <alignment vertical="center"/>
    </xf>
    <xf numFmtId="3" fontId="30" fillId="0" borderId="31" xfId="0" applyNumberFormat="1" applyFont="1" applyBorder="1" applyAlignment="1">
      <alignment horizontal="right" vertical="center" wrapText="1"/>
    </xf>
    <xf numFmtId="0" fontId="30" fillId="0" borderId="32" xfId="0" applyFont="1" applyBorder="1" applyAlignment="1">
      <alignment horizontal="center" vertical="center"/>
    </xf>
    <xf numFmtId="0" fontId="30" fillId="0" borderId="32" xfId="0" applyFont="1" applyBorder="1" applyAlignment="1">
      <alignment horizontal="justify" vertical="center" wrapText="1"/>
    </xf>
    <xf numFmtId="3" fontId="31" fillId="0" borderId="32" xfId="0" applyNumberFormat="1" applyFont="1" applyBorder="1" applyAlignment="1">
      <alignment vertical="center"/>
    </xf>
    <xf numFmtId="3" fontId="30" fillId="0" borderId="32" xfId="0" applyNumberFormat="1" applyFont="1" applyBorder="1" applyAlignment="1">
      <alignment horizontal="right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justify" vertical="center" wrapText="1"/>
    </xf>
    <xf numFmtId="3" fontId="31" fillId="0" borderId="12" xfId="0" applyNumberFormat="1" applyFont="1" applyBorder="1" applyAlignment="1">
      <alignment vertical="center"/>
    </xf>
    <xf numFmtId="3" fontId="30" fillId="0" borderId="12" xfId="0" applyNumberFormat="1" applyFont="1" applyBorder="1" applyAlignment="1">
      <alignment horizontal="right" vertical="center" wrapText="1"/>
    </xf>
    <xf numFmtId="0" fontId="30" fillId="0" borderId="12" xfId="0" applyFont="1" applyBorder="1" applyAlignment="1">
      <alignment horizontal="justify" vertical="center" wrapText="1"/>
    </xf>
    <xf numFmtId="0" fontId="18" fillId="0" borderId="22" xfId="0" applyFont="1" applyBorder="1" applyAlignment="1">
      <alignment/>
    </xf>
    <xf numFmtId="3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3" fontId="28" fillId="0" borderId="16" xfId="0" applyNumberFormat="1" applyFont="1" applyBorder="1" applyAlignment="1">
      <alignment/>
    </xf>
    <xf numFmtId="3" fontId="7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/>
    </xf>
    <xf numFmtId="0" fontId="29" fillId="0" borderId="16" xfId="0" applyFont="1" applyBorder="1" applyAlignment="1">
      <alignment horizontal="center"/>
    </xf>
    <xf numFmtId="0" fontId="28" fillId="0" borderId="16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33" fillId="0" borderId="29" xfId="0" applyNumberFormat="1" applyFont="1" applyBorder="1" applyAlignment="1">
      <alignment vertical="center"/>
    </xf>
    <xf numFmtId="3" fontId="32" fillId="0" borderId="29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/>
    </xf>
    <xf numFmtId="3" fontId="33" fillId="0" borderId="30" xfId="0" applyNumberFormat="1" applyFont="1" applyBorder="1" applyAlignment="1">
      <alignment vertical="center"/>
    </xf>
    <xf numFmtId="3" fontId="32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/>
    </xf>
    <xf numFmtId="3" fontId="33" fillId="0" borderId="12" xfId="0" applyNumberFormat="1" applyFont="1" applyBorder="1" applyAlignment="1">
      <alignment vertical="center"/>
    </xf>
    <xf numFmtId="3" fontId="32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/>
    </xf>
    <xf numFmtId="0" fontId="30" fillId="0" borderId="29" xfId="0" applyFont="1" applyFill="1" applyBorder="1" applyAlignment="1" quotePrefix="1">
      <alignment horizontal="center" vertical="center"/>
    </xf>
    <xf numFmtId="3" fontId="28" fillId="0" borderId="29" xfId="0" applyNumberFormat="1" applyFont="1" applyBorder="1" applyAlignment="1">
      <alignment/>
    </xf>
    <xf numFmtId="3" fontId="28" fillId="0" borderId="33" xfId="0" applyNumberFormat="1" applyFont="1" applyBorder="1" applyAlignment="1">
      <alignment/>
    </xf>
    <xf numFmtId="3" fontId="32" fillId="0" borderId="33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/>
    </xf>
    <xf numFmtId="0" fontId="30" fillId="0" borderId="33" xfId="0" applyFont="1" applyFill="1" applyBorder="1" applyAlignment="1" quotePrefix="1">
      <alignment horizontal="center" vertical="center"/>
    </xf>
    <xf numFmtId="0" fontId="30" fillId="0" borderId="30" xfId="0" applyFont="1" applyFill="1" applyBorder="1" applyAlignment="1" quotePrefix="1">
      <alignment horizontal="center" vertical="center"/>
    </xf>
    <xf numFmtId="3" fontId="28" fillId="0" borderId="30" xfId="0" applyNumberFormat="1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left" vertical="center" wrapText="1"/>
    </xf>
    <xf numFmtId="0" fontId="30" fillId="0" borderId="30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center"/>
    </xf>
    <xf numFmtId="172" fontId="2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75" fontId="1" fillId="0" borderId="0" xfId="42" applyNumberFormat="1" applyFont="1" applyAlignment="1">
      <alignment/>
    </xf>
    <xf numFmtId="0" fontId="18" fillId="0" borderId="12" xfId="0" applyFont="1" applyBorder="1" applyAlignment="1">
      <alignment horizontal="center" wrapText="1"/>
    </xf>
    <xf numFmtId="3" fontId="14" fillId="0" borderId="21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1" xfId="0" applyFont="1" applyBorder="1" applyAlignment="1">
      <alignment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 quotePrefix="1">
      <alignment horizontal="center" vertical="center"/>
    </xf>
    <xf numFmtId="0" fontId="14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7" fillId="0" borderId="10" xfId="0" applyFont="1" applyFill="1" applyBorder="1" applyAlignment="1" quotePrefix="1">
      <alignment horizontal="center" vertical="center"/>
    </xf>
    <xf numFmtId="0" fontId="14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18" xfId="0" applyFont="1" applyBorder="1" applyAlignment="1">
      <alignment wrapText="1"/>
    </xf>
    <xf numFmtId="3" fontId="28" fillId="0" borderId="33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14" fillId="0" borderId="3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3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3" fillId="0" borderId="34" xfId="0" applyFont="1" applyBorder="1" applyAlignment="1">
      <alignment horizontal="right"/>
    </xf>
    <xf numFmtId="0" fontId="35" fillId="0" borderId="0" xfId="0" applyFont="1" applyAlignment="1">
      <alignment horizontal="center"/>
    </xf>
    <xf numFmtId="0" fontId="9" fillId="0" borderId="34" xfId="0" applyFont="1" applyBorder="1" applyAlignment="1">
      <alignment horizontal="center"/>
    </xf>
    <xf numFmtId="0" fontId="22" fillId="0" borderId="0" xfId="0" applyFont="1" applyAlignment="1">
      <alignment horizontal="center"/>
    </xf>
    <xf numFmtId="3" fontId="30" fillId="0" borderId="32" xfId="0" applyNumberFormat="1" applyFont="1" applyBorder="1" applyAlignment="1">
      <alignment horizontal="center" vertical="center" wrapText="1"/>
    </xf>
    <xf numFmtId="3" fontId="30" fillId="0" borderId="31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4" xfId="0" applyFont="1" applyBorder="1" applyAlignment="1">
      <alignment horizontal="right"/>
    </xf>
    <xf numFmtId="0" fontId="18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04%2027%20D&#7921;%20to&#225;n%20tr&#7891;ng%20r&#7915;ng%20san%20xuat%20TAY%20GIA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04%2027%20D&#7921;%20to&#225;n%20tr&#7891;ng%20r&#7915;ng%20s&#7843;n%20xu&#7845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04%2027%20D&#7921;%20to&#225;n%20tr&#7891;ng%20r&#7915;ng%20ph&#242;ng%20h&#7897;%20S&#244;ng%20Bung%202%20TAY%20GI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ểu 1"/>
      <sheetName val="biểu 2"/>
      <sheetName val="biểu 3 (2)"/>
    </sheetNames>
    <sheetDataSet>
      <sheetData sheetId="1">
        <row r="25">
          <cell r="H25">
            <v>6653236.523076335</v>
          </cell>
        </row>
        <row r="26">
          <cell r="H26">
            <v>990907.5672666881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ểu 1"/>
      <sheetName val="biểu 2"/>
      <sheetName val="biểu 3 (2)"/>
    </sheetNames>
    <sheetDataSet>
      <sheetData sheetId="1">
        <row r="25">
          <cell r="H25">
            <v>30944276.832420982</v>
          </cell>
        </row>
        <row r="26">
          <cell r="H26">
            <v>4608722.081424402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ểu 1"/>
      <sheetName val="biểu 2"/>
      <sheetName val="biểu 3 (2)"/>
    </sheetNames>
    <sheetDataSet>
      <sheetData sheetId="1">
        <row r="25">
          <cell r="H25">
            <v>17120289.566396415</v>
          </cell>
        </row>
        <row r="26">
          <cell r="H26">
            <v>2549830.3609526576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6">
      <selection activeCell="A6" sqref="A6:I6"/>
    </sheetView>
  </sheetViews>
  <sheetFormatPr defaultColWidth="9.140625" defaultRowHeight="15"/>
  <cols>
    <col min="1" max="1" width="3.57421875" style="0" customWidth="1"/>
    <col min="2" max="2" width="32.421875" style="0" customWidth="1"/>
    <col min="3" max="3" width="8.7109375" style="0" customWidth="1"/>
    <col min="4" max="4" width="11.7109375" style="0" customWidth="1"/>
    <col min="5" max="5" width="11.8515625" style="0" customWidth="1"/>
    <col min="6" max="6" width="11.00390625" style="0" customWidth="1"/>
    <col min="7" max="7" width="12.57421875" style="0" customWidth="1"/>
    <col min="8" max="8" width="13.421875" style="0" customWidth="1"/>
    <col min="9" max="10" width="16.140625" style="0" customWidth="1"/>
    <col min="11" max="11" width="15.00390625" style="0" customWidth="1"/>
    <col min="13" max="13" width="11.7109375" style="0" customWidth="1"/>
    <col min="14" max="14" width="14.8515625" style="0" customWidth="1"/>
    <col min="15" max="15" width="13.57421875" style="0" customWidth="1"/>
  </cols>
  <sheetData>
    <row r="1" spans="1:9" ht="35.25" customHeight="1">
      <c r="A1" s="226" t="s">
        <v>147</v>
      </c>
      <c r="B1" s="227"/>
      <c r="C1" s="227"/>
      <c r="D1" s="227"/>
      <c r="E1" s="227"/>
      <c r="F1" s="227"/>
      <c r="G1" s="227"/>
      <c r="H1" s="227"/>
      <c r="I1" s="227"/>
    </row>
    <row r="2" spans="1:9" ht="17.25">
      <c r="A2" s="227" t="s">
        <v>94</v>
      </c>
      <c r="B2" s="227"/>
      <c r="C2" s="227"/>
      <c r="D2" s="227"/>
      <c r="E2" s="227"/>
      <c r="F2" s="227"/>
      <c r="G2" s="227"/>
      <c r="H2" s="227"/>
      <c r="I2" s="227"/>
    </row>
    <row r="3" spans="1:9" ht="17.25">
      <c r="A3" s="227" t="s">
        <v>95</v>
      </c>
      <c r="B3" s="227"/>
      <c r="C3" s="227"/>
      <c r="D3" s="227"/>
      <c r="E3" s="227"/>
      <c r="F3" s="227"/>
      <c r="G3" s="227"/>
      <c r="H3" s="227"/>
      <c r="I3" s="227"/>
    </row>
    <row r="4" spans="1:9" ht="18">
      <c r="A4" s="227" t="s">
        <v>112</v>
      </c>
      <c r="B4" s="228"/>
      <c r="C4" s="228"/>
      <c r="D4" s="228"/>
      <c r="E4" s="228"/>
      <c r="F4" s="228"/>
      <c r="G4" s="228"/>
      <c r="H4" s="228"/>
      <c r="I4" s="228"/>
    </row>
    <row r="5" spans="1:9" ht="59.25" customHeight="1">
      <c r="A5" s="226" t="s">
        <v>113</v>
      </c>
      <c r="B5" s="228"/>
      <c r="C5" s="228"/>
      <c r="D5" s="228"/>
      <c r="E5" s="228"/>
      <c r="F5" s="228"/>
      <c r="G5" s="228"/>
      <c r="H5" s="228"/>
      <c r="I5" s="228"/>
    </row>
    <row r="6" spans="1:9" ht="20.25" customHeight="1">
      <c r="A6" s="229" t="s">
        <v>152</v>
      </c>
      <c r="B6" s="229"/>
      <c r="C6" s="229"/>
      <c r="D6" s="229"/>
      <c r="E6" s="229"/>
      <c r="F6" s="229"/>
      <c r="G6" s="229"/>
      <c r="H6" s="229"/>
      <c r="I6" s="229"/>
    </row>
    <row r="7" spans="1:15" ht="15" customHeight="1">
      <c r="A7" s="231" t="s">
        <v>0</v>
      </c>
      <c r="B7" s="231" t="s">
        <v>1</v>
      </c>
      <c r="C7" s="231" t="s">
        <v>2</v>
      </c>
      <c r="D7" s="231" t="s">
        <v>3</v>
      </c>
      <c r="E7" s="231" t="s">
        <v>4</v>
      </c>
      <c r="F7" s="231" t="s">
        <v>5</v>
      </c>
      <c r="G7" s="231" t="s">
        <v>6</v>
      </c>
      <c r="H7" s="224" t="s">
        <v>81</v>
      </c>
      <c r="I7" s="224" t="s">
        <v>96</v>
      </c>
      <c r="J7" s="221"/>
      <c r="K7" s="222"/>
      <c r="L7" s="222"/>
      <c r="M7" s="223"/>
      <c r="N7" s="223"/>
      <c r="O7" s="216"/>
    </row>
    <row r="8" spans="1:15" ht="29.25" customHeight="1">
      <c r="A8" s="225"/>
      <c r="B8" s="225"/>
      <c r="C8" s="225"/>
      <c r="D8" s="225"/>
      <c r="E8" s="225"/>
      <c r="F8" s="225"/>
      <c r="G8" s="225"/>
      <c r="H8" s="225"/>
      <c r="I8" s="225"/>
      <c r="J8" s="221"/>
      <c r="K8" s="222"/>
      <c r="L8" s="222"/>
      <c r="M8" s="222"/>
      <c r="N8" s="222"/>
      <c r="O8" s="217"/>
    </row>
    <row r="9" spans="1:15" ht="15">
      <c r="A9" s="24" t="s">
        <v>7</v>
      </c>
      <c r="B9" s="28" t="s">
        <v>8</v>
      </c>
      <c r="C9" s="28"/>
      <c r="D9" s="28"/>
      <c r="E9" s="28"/>
      <c r="F9" s="28"/>
      <c r="G9" s="28"/>
      <c r="H9" s="21">
        <f>H10</f>
        <v>38289661.64736307</v>
      </c>
      <c r="I9" s="21">
        <f>H9*268.1</f>
        <v>10265458287.65804</v>
      </c>
      <c r="J9" s="56"/>
      <c r="K9" s="56"/>
      <c r="L9" s="56"/>
      <c r="M9" s="56"/>
      <c r="N9" s="56"/>
      <c r="O9" s="56"/>
    </row>
    <row r="10" spans="1:15" ht="15">
      <c r="A10" s="24" t="s">
        <v>9</v>
      </c>
      <c r="B10" s="28" t="s">
        <v>10</v>
      </c>
      <c r="C10" s="28"/>
      <c r="D10" s="28"/>
      <c r="E10" s="28"/>
      <c r="F10" s="28"/>
      <c r="G10" s="28"/>
      <c r="H10" s="21">
        <f>H11+H19</f>
        <v>38289661.64736307</v>
      </c>
      <c r="I10" s="21">
        <f aca="true" t="shared" si="0" ref="I10:I57">H10*268.1</f>
        <v>10265458287.65804</v>
      </c>
      <c r="J10" s="56"/>
      <c r="K10" s="56"/>
      <c r="L10" s="56"/>
      <c r="M10" s="56"/>
      <c r="N10" s="56"/>
      <c r="O10" s="56"/>
    </row>
    <row r="11" spans="1:15" ht="15">
      <c r="A11" s="24">
        <v>1</v>
      </c>
      <c r="B11" s="28" t="s">
        <v>16</v>
      </c>
      <c r="C11" s="28"/>
      <c r="D11" s="28"/>
      <c r="E11" s="28"/>
      <c r="F11" s="29">
        <f>SUM(F12:F18)</f>
        <v>183.3445352977967</v>
      </c>
      <c r="G11" s="21"/>
      <c r="H11" s="21">
        <f>SUM(H12:H18)</f>
        <v>26436871.64736307</v>
      </c>
      <c r="I11" s="21">
        <f t="shared" si="0"/>
        <v>7087725288.65804</v>
      </c>
      <c r="J11" s="56"/>
      <c r="K11" s="56"/>
      <c r="L11" s="56"/>
      <c r="M11" s="56"/>
      <c r="N11" s="56"/>
      <c r="O11" s="56"/>
    </row>
    <row r="12" spans="1:15" ht="17.25">
      <c r="A12" s="51"/>
      <c r="B12" s="25" t="s">
        <v>11</v>
      </c>
      <c r="C12" s="51" t="s">
        <v>24</v>
      </c>
      <c r="D12" s="26">
        <v>8333</v>
      </c>
      <c r="E12" s="75">
        <f>155*0.81</f>
        <v>125.55000000000001</v>
      </c>
      <c r="F12" s="27">
        <f aca="true" t="shared" si="1" ref="F12:F17">D12/E12</f>
        <v>66.37196336121066</v>
      </c>
      <c r="G12" s="26">
        <f>1150000*(2.56+0.7)/26</f>
        <v>144192.3076923077</v>
      </c>
      <c r="H12" s="26">
        <f>F12*G12</f>
        <v>9570326.56312226</v>
      </c>
      <c r="I12" s="85">
        <f t="shared" si="0"/>
        <v>2565804551.573078</v>
      </c>
      <c r="J12" s="56"/>
      <c r="K12" s="56"/>
      <c r="L12" s="56"/>
      <c r="M12" s="56"/>
      <c r="N12" s="56"/>
      <c r="O12" s="56"/>
    </row>
    <row r="13" spans="1:15" ht="15">
      <c r="A13" s="49"/>
      <c r="B13" s="3" t="s">
        <v>12</v>
      </c>
      <c r="C13" s="49" t="s">
        <v>25</v>
      </c>
      <c r="D13" s="4">
        <v>1333</v>
      </c>
      <c r="E13" s="76">
        <f>53*0.81</f>
        <v>42.93</v>
      </c>
      <c r="F13" s="5">
        <f t="shared" si="1"/>
        <v>31.05054740274866</v>
      </c>
      <c r="G13" s="26">
        <f aca="true" t="shared" si="2" ref="G13:G18">1150000*(2.56+0.7)/26</f>
        <v>144192.3076923077</v>
      </c>
      <c r="H13" s="4">
        <f aca="true" t="shared" si="3" ref="H13:H18">F13*G13</f>
        <v>4477250.08511172</v>
      </c>
      <c r="I13" s="86">
        <f t="shared" si="0"/>
        <v>1200350747.8184521</v>
      </c>
      <c r="J13" s="56"/>
      <c r="K13" s="56"/>
      <c r="L13" s="56"/>
      <c r="M13" s="56"/>
      <c r="N13" s="56"/>
      <c r="O13" s="56"/>
    </row>
    <row r="14" spans="1:15" ht="15">
      <c r="A14" s="49"/>
      <c r="B14" s="3" t="s">
        <v>13</v>
      </c>
      <c r="C14" s="49" t="s">
        <v>25</v>
      </c>
      <c r="D14" s="4">
        <v>1333</v>
      </c>
      <c r="E14" s="76">
        <f>152*0.81</f>
        <v>123.12</v>
      </c>
      <c r="F14" s="5">
        <f t="shared" si="1"/>
        <v>10.826835607537362</v>
      </c>
      <c r="G14" s="26">
        <f t="shared" si="2"/>
        <v>144192.3076923077</v>
      </c>
      <c r="H14" s="4">
        <f t="shared" si="3"/>
        <v>1561146.4112560602</v>
      </c>
      <c r="I14" s="86">
        <f t="shared" si="0"/>
        <v>418543352.85774976</v>
      </c>
      <c r="J14" s="56"/>
      <c r="K14" s="56"/>
      <c r="L14" s="56"/>
      <c r="M14" s="56"/>
      <c r="N14" s="56"/>
      <c r="O14" s="56"/>
    </row>
    <row r="15" spans="1:15" ht="17.25">
      <c r="A15" s="49"/>
      <c r="B15" s="3" t="s">
        <v>23</v>
      </c>
      <c r="C15" s="49" t="s">
        <v>24</v>
      </c>
      <c r="D15" s="4">
        <v>1333</v>
      </c>
      <c r="E15" s="76">
        <f>90*0.81</f>
        <v>72.9</v>
      </c>
      <c r="F15" s="5">
        <f t="shared" si="1"/>
        <v>18.28532235939643</v>
      </c>
      <c r="G15" s="26">
        <f t="shared" si="2"/>
        <v>144192.3076923077</v>
      </c>
      <c r="H15" s="4">
        <f t="shared" si="3"/>
        <v>2636602.827899124</v>
      </c>
      <c r="I15" s="86">
        <f t="shared" si="0"/>
        <v>706873218.1597552</v>
      </c>
      <c r="J15" s="56"/>
      <c r="K15" s="56"/>
      <c r="L15" s="56"/>
      <c r="M15" s="56"/>
      <c r="N15" s="56"/>
      <c r="O15" s="56"/>
    </row>
    <row r="16" spans="1:15" ht="15">
      <c r="A16" s="49"/>
      <c r="B16" s="3" t="s">
        <v>14</v>
      </c>
      <c r="C16" s="49" t="s">
        <v>26</v>
      </c>
      <c r="D16" s="4">
        <v>1333</v>
      </c>
      <c r="E16" s="76">
        <f>99*0.81</f>
        <v>80.19000000000001</v>
      </c>
      <c r="F16" s="5">
        <f t="shared" si="1"/>
        <v>16.623020326724028</v>
      </c>
      <c r="G16" s="26">
        <f t="shared" si="2"/>
        <v>144192.3076923077</v>
      </c>
      <c r="H16" s="4">
        <f t="shared" si="3"/>
        <v>2396911.661726476</v>
      </c>
      <c r="I16" s="86">
        <f t="shared" si="0"/>
        <v>642612016.5088683</v>
      </c>
      <c r="J16" s="56"/>
      <c r="K16" s="56"/>
      <c r="L16" s="56"/>
      <c r="M16" s="56"/>
      <c r="N16" s="56"/>
      <c r="O16" s="56"/>
    </row>
    <row r="17" spans="1:15" ht="15">
      <c r="A17" s="49"/>
      <c r="B17" s="3" t="s">
        <v>15</v>
      </c>
      <c r="C17" s="49" t="s">
        <v>26</v>
      </c>
      <c r="D17" s="4">
        <v>1466</v>
      </c>
      <c r="E17" s="76">
        <f>55*0.81</f>
        <v>44.550000000000004</v>
      </c>
      <c r="F17" s="5">
        <f t="shared" si="1"/>
        <v>32.90684624017957</v>
      </c>
      <c r="G17" s="26">
        <f t="shared" si="2"/>
        <v>144192.3076923077</v>
      </c>
      <c r="H17" s="4">
        <f t="shared" si="3"/>
        <v>4744914.09824743</v>
      </c>
      <c r="I17" s="86">
        <f t="shared" si="0"/>
        <v>1272111469.7401361</v>
      </c>
      <c r="J17" s="56"/>
      <c r="K17" s="56"/>
      <c r="L17" s="56"/>
      <c r="M17" s="56"/>
      <c r="N17" s="56"/>
      <c r="O17" s="56"/>
    </row>
    <row r="18" spans="1:15" ht="15">
      <c r="A18" s="49"/>
      <c r="B18" s="3" t="s">
        <v>22</v>
      </c>
      <c r="C18" s="49" t="s">
        <v>29</v>
      </c>
      <c r="D18" s="4">
        <v>1</v>
      </c>
      <c r="E18" s="76">
        <f>7.28</f>
        <v>7.28</v>
      </c>
      <c r="F18" s="5">
        <v>7.28</v>
      </c>
      <c r="G18" s="26">
        <f t="shared" si="2"/>
        <v>144192.3076923077</v>
      </c>
      <c r="H18" s="4">
        <f t="shared" si="3"/>
        <v>1049720</v>
      </c>
      <c r="I18" s="87">
        <f t="shared" si="0"/>
        <v>281429932</v>
      </c>
      <c r="J18" s="60"/>
      <c r="K18" s="220"/>
      <c r="L18" s="220"/>
      <c r="M18" s="220"/>
      <c r="N18" s="220"/>
      <c r="O18" s="61"/>
    </row>
    <row r="19" spans="1:15" ht="15">
      <c r="A19" s="24">
        <v>2</v>
      </c>
      <c r="B19" s="28" t="s">
        <v>17</v>
      </c>
      <c r="C19" s="24"/>
      <c r="D19" s="21"/>
      <c r="E19" s="21"/>
      <c r="F19" s="21"/>
      <c r="G19" s="21"/>
      <c r="H19" s="21">
        <f>H20+H23</f>
        <v>11852790</v>
      </c>
      <c r="I19" s="21">
        <f t="shared" si="0"/>
        <v>3177732999.0000005</v>
      </c>
      <c r="J19" s="218"/>
      <c r="K19" s="219"/>
      <c r="L19" s="219"/>
      <c r="M19" s="219"/>
      <c r="N19" s="62"/>
      <c r="O19" s="61"/>
    </row>
    <row r="20" spans="1:9" ht="14.25">
      <c r="A20" s="51"/>
      <c r="B20" s="25" t="s">
        <v>18</v>
      </c>
      <c r="C20" s="51" t="s">
        <v>27</v>
      </c>
      <c r="D20" s="26">
        <f>D21+D22</f>
        <v>1466</v>
      </c>
      <c r="E20" s="26"/>
      <c r="F20" s="26"/>
      <c r="G20" s="26"/>
      <c r="H20" s="26">
        <f>H21+H22</f>
        <v>9990790</v>
      </c>
      <c r="I20" s="85">
        <f t="shared" si="0"/>
        <v>2678530799</v>
      </c>
    </row>
    <row r="21" spans="1:9" ht="14.25">
      <c r="A21" s="49"/>
      <c r="B21" s="3" t="s">
        <v>109</v>
      </c>
      <c r="C21" s="49" t="s">
        <v>91</v>
      </c>
      <c r="D21" s="4">
        <v>733</v>
      </c>
      <c r="E21" s="4"/>
      <c r="F21" s="4"/>
      <c r="G21" s="4">
        <v>10000</v>
      </c>
      <c r="H21" s="4">
        <f>D21*G21</f>
        <v>7330000</v>
      </c>
      <c r="I21" s="86">
        <f t="shared" si="0"/>
        <v>1965173000.0000002</v>
      </c>
    </row>
    <row r="22" spans="1:11" ht="14.25">
      <c r="A22" s="49"/>
      <c r="B22" s="3" t="s">
        <v>19</v>
      </c>
      <c r="C22" s="49" t="s">
        <v>91</v>
      </c>
      <c r="D22" s="4">
        <v>733</v>
      </c>
      <c r="E22" s="4"/>
      <c r="F22" s="4"/>
      <c r="G22" s="4">
        <v>3630</v>
      </c>
      <c r="H22" s="4">
        <f>D22*G22</f>
        <v>2660790</v>
      </c>
      <c r="I22" s="86">
        <f t="shared" si="0"/>
        <v>713357799.0000001</v>
      </c>
      <c r="K22" s="2"/>
    </row>
    <row r="23" spans="1:9" ht="14.25">
      <c r="A23" s="49"/>
      <c r="B23" s="3" t="s">
        <v>21</v>
      </c>
      <c r="C23" s="49" t="s">
        <v>28</v>
      </c>
      <c r="D23" s="4">
        <v>133</v>
      </c>
      <c r="E23" s="82"/>
      <c r="F23" s="4"/>
      <c r="G23" s="4">
        <v>14000</v>
      </c>
      <c r="H23" s="4">
        <f>D23*G23</f>
        <v>1862000</v>
      </c>
      <c r="I23" s="87">
        <f t="shared" si="0"/>
        <v>499202200.00000006</v>
      </c>
    </row>
    <row r="24" spans="1:9" ht="14.25">
      <c r="A24" s="24" t="s">
        <v>31</v>
      </c>
      <c r="B24" s="28" t="s">
        <v>32</v>
      </c>
      <c r="C24" s="29"/>
      <c r="D24" s="29"/>
      <c r="E24" s="29"/>
      <c r="F24" s="29"/>
      <c r="G24" s="29"/>
      <c r="H24" s="21">
        <f>H25+H40+H46+H52</f>
        <v>35440786.9729283</v>
      </c>
      <c r="I24" s="21">
        <f t="shared" si="0"/>
        <v>9501674987.442078</v>
      </c>
    </row>
    <row r="25" spans="1:9" ht="14.25">
      <c r="A25" s="24" t="s">
        <v>9</v>
      </c>
      <c r="B25" s="28" t="s">
        <v>101</v>
      </c>
      <c r="C25" s="29"/>
      <c r="D25" s="29"/>
      <c r="E25" s="29"/>
      <c r="F25" s="29"/>
      <c r="G25" s="29"/>
      <c r="H25" s="21">
        <f>H26+H35</f>
        <v>11455727.672017982</v>
      </c>
      <c r="I25" s="21">
        <f t="shared" si="0"/>
        <v>3071280588.8680215</v>
      </c>
    </row>
    <row r="26" spans="1:9" ht="14.25">
      <c r="A26" s="24">
        <v>1</v>
      </c>
      <c r="B26" s="28" t="s">
        <v>16</v>
      </c>
      <c r="C26" s="29"/>
      <c r="D26" s="29"/>
      <c r="E26" s="29"/>
      <c r="F26" s="29">
        <f>SUM(F27:F34)</f>
        <v>71.84813002733196</v>
      </c>
      <c r="G26" s="21">
        <f>1150000*(2.56+0.7)/26</f>
        <v>144192.3076923077</v>
      </c>
      <c r="H26" s="21">
        <f>SUM(H27:H34)</f>
        <v>10359947.672017982</v>
      </c>
      <c r="I26" s="21">
        <f t="shared" si="0"/>
        <v>2777501970.8680215</v>
      </c>
    </row>
    <row r="27" spans="1:9" ht="17.25">
      <c r="A27" s="51"/>
      <c r="B27" s="25" t="s">
        <v>33</v>
      </c>
      <c r="C27" s="26" t="s">
        <v>47</v>
      </c>
      <c r="D27" s="26">
        <v>8333</v>
      </c>
      <c r="E27" s="26">
        <f>470*0.81</f>
        <v>380.70000000000005</v>
      </c>
      <c r="F27" s="27">
        <f>D27/E27</f>
        <v>21.888626214867347</v>
      </c>
      <c r="G27" s="26">
        <f>1150000*(2.56+0.7)/26</f>
        <v>144192.3076923077</v>
      </c>
      <c r="H27" s="26">
        <f>F27*G27</f>
        <v>3156171.526136065</v>
      </c>
      <c r="I27" s="85">
        <f t="shared" si="0"/>
        <v>846169586.1570791</v>
      </c>
    </row>
    <row r="28" spans="1:9" ht="17.25">
      <c r="A28" s="49"/>
      <c r="B28" s="3" t="s">
        <v>34</v>
      </c>
      <c r="C28" s="4" t="s">
        <v>47</v>
      </c>
      <c r="D28" s="4">
        <v>8333</v>
      </c>
      <c r="E28" s="4">
        <f>698*0.81</f>
        <v>565.38</v>
      </c>
      <c r="F28" s="5">
        <f aca="true" t="shared" si="4" ref="F28:F33">D28/E28</f>
        <v>14.738759772188617</v>
      </c>
      <c r="G28" s="26">
        <f aca="true" t="shared" si="5" ref="G28:G34">1150000*(2.56+0.7)/26</f>
        <v>144192.3076923077</v>
      </c>
      <c r="H28" s="4">
        <f aca="true" t="shared" si="6" ref="H28:H34">F28*G28</f>
        <v>2125215.784074428</v>
      </c>
      <c r="I28" s="86">
        <f t="shared" si="0"/>
        <v>569770351.7103542</v>
      </c>
    </row>
    <row r="29" spans="1:9" ht="17.25">
      <c r="A29" s="49"/>
      <c r="B29" s="3" t="s">
        <v>35</v>
      </c>
      <c r="C29" s="4" t="s">
        <v>47</v>
      </c>
      <c r="D29" s="4">
        <v>1333</v>
      </c>
      <c r="E29" s="4">
        <f>90*0.81</f>
        <v>72.9</v>
      </c>
      <c r="F29" s="5">
        <f t="shared" si="4"/>
        <v>18.28532235939643</v>
      </c>
      <c r="G29" s="26">
        <f t="shared" si="5"/>
        <v>144192.3076923077</v>
      </c>
      <c r="H29" s="4">
        <f t="shared" si="6"/>
        <v>2636602.827899124</v>
      </c>
      <c r="I29" s="86">
        <f t="shared" si="0"/>
        <v>706873218.1597552</v>
      </c>
    </row>
    <row r="30" spans="1:9" ht="14.25">
      <c r="A30" s="49"/>
      <c r="B30" s="3" t="s">
        <v>36</v>
      </c>
      <c r="C30" s="4" t="s">
        <v>41</v>
      </c>
      <c r="D30" s="4">
        <v>133</v>
      </c>
      <c r="E30" s="4">
        <f>53*0.81</f>
        <v>42.93</v>
      </c>
      <c r="F30" s="5">
        <f t="shared" si="4"/>
        <v>3.098066620079199</v>
      </c>
      <c r="G30" s="26">
        <f t="shared" si="5"/>
        <v>144192.3076923077</v>
      </c>
      <c r="H30" s="4">
        <f t="shared" si="6"/>
        <v>446717.37533372757</v>
      </c>
      <c r="I30" s="86">
        <f t="shared" si="0"/>
        <v>119764928.32697237</v>
      </c>
    </row>
    <row r="31" spans="1:9" ht="14.25">
      <c r="A31" s="52"/>
      <c r="B31" s="53" t="s">
        <v>37</v>
      </c>
      <c r="C31" s="54" t="s">
        <v>41</v>
      </c>
      <c r="D31" s="54">
        <v>133</v>
      </c>
      <c r="E31" s="54">
        <f>152*0.81</f>
        <v>123.12</v>
      </c>
      <c r="F31" s="55">
        <f t="shared" si="4"/>
        <v>1.0802469135802468</v>
      </c>
      <c r="G31" s="54">
        <f t="shared" si="5"/>
        <v>144192.3076923077</v>
      </c>
      <c r="H31" s="54">
        <f t="shared" si="6"/>
        <v>155763.29534662867</v>
      </c>
      <c r="I31" s="87">
        <f t="shared" si="0"/>
        <v>41760139.48243115</v>
      </c>
    </row>
    <row r="32" spans="1:9" ht="14.25">
      <c r="A32" s="51"/>
      <c r="B32" s="25" t="s">
        <v>38</v>
      </c>
      <c r="C32" s="26" t="s">
        <v>110</v>
      </c>
      <c r="D32" s="188">
        <v>133</v>
      </c>
      <c r="E32" s="26">
        <f>99*0.81</f>
        <v>80.19000000000001</v>
      </c>
      <c r="F32" s="27">
        <f t="shared" si="4"/>
        <v>1.6585609178201768</v>
      </c>
      <c r="G32" s="26">
        <f t="shared" si="5"/>
        <v>144192.3076923077</v>
      </c>
      <c r="H32" s="26">
        <f t="shared" si="6"/>
        <v>239151.72618876316</v>
      </c>
      <c r="I32" s="189">
        <f t="shared" si="0"/>
        <v>64116577.79120741</v>
      </c>
    </row>
    <row r="33" spans="1:9" ht="14.25">
      <c r="A33" s="49"/>
      <c r="B33" s="3" t="s">
        <v>39</v>
      </c>
      <c r="C33" s="4" t="s">
        <v>27</v>
      </c>
      <c r="D33" s="4">
        <v>133</v>
      </c>
      <c r="E33" s="74">
        <f>43*0.81</f>
        <v>34.830000000000005</v>
      </c>
      <c r="F33" s="5">
        <f t="shared" si="4"/>
        <v>3.818547229399942</v>
      </c>
      <c r="G33" s="26">
        <f t="shared" si="5"/>
        <v>144192.3076923077</v>
      </c>
      <c r="H33" s="4">
        <f t="shared" si="6"/>
        <v>550605.1370392455</v>
      </c>
      <c r="I33" s="86">
        <f t="shared" si="0"/>
        <v>147617237.2402217</v>
      </c>
    </row>
    <row r="34" spans="1:9" ht="14.25">
      <c r="A34" s="52"/>
      <c r="B34" s="53" t="s">
        <v>22</v>
      </c>
      <c r="C34" s="54" t="s">
        <v>29</v>
      </c>
      <c r="D34" s="54">
        <v>1</v>
      </c>
      <c r="E34" s="55">
        <f>7.28</f>
        <v>7.28</v>
      </c>
      <c r="F34" s="55">
        <v>7.28</v>
      </c>
      <c r="G34" s="26">
        <f t="shared" si="5"/>
        <v>144192.3076923077</v>
      </c>
      <c r="H34" s="54">
        <f t="shared" si="6"/>
        <v>1049720</v>
      </c>
      <c r="I34" s="87">
        <f t="shared" si="0"/>
        <v>281429932</v>
      </c>
    </row>
    <row r="35" spans="1:9" ht="14.25">
      <c r="A35" s="24">
        <v>2</v>
      </c>
      <c r="B35" s="28" t="s">
        <v>17</v>
      </c>
      <c r="C35" s="21"/>
      <c r="D35" s="21"/>
      <c r="E35" s="21"/>
      <c r="F35" s="29"/>
      <c r="G35" s="29"/>
      <c r="H35" s="21">
        <f>H36+H39</f>
        <v>1095780</v>
      </c>
      <c r="I35" s="21">
        <f t="shared" si="0"/>
        <v>293778618</v>
      </c>
    </row>
    <row r="36" spans="1:9" ht="14.25">
      <c r="A36" s="88" t="s">
        <v>53</v>
      </c>
      <c r="B36" s="25" t="s">
        <v>18</v>
      </c>
      <c r="C36" s="26"/>
      <c r="D36" s="26"/>
      <c r="E36" s="26"/>
      <c r="F36" s="27"/>
      <c r="G36" s="27"/>
      <c r="H36" s="4">
        <f>H37+H38</f>
        <v>909580</v>
      </c>
      <c r="I36" s="85">
        <f t="shared" si="0"/>
        <v>243858398.00000003</v>
      </c>
    </row>
    <row r="37" spans="1:9" ht="14.25">
      <c r="A37" s="49"/>
      <c r="B37" s="3" t="s">
        <v>20</v>
      </c>
      <c r="C37" s="4" t="s">
        <v>27</v>
      </c>
      <c r="D37" s="4">
        <v>67</v>
      </c>
      <c r="E37" s="4">
        <v>10000</v>
      </c>
      <c r="F37" s="5"/>
      <c r="G37" s="4"/>
      <c r="H37" s="4">
        <f>D37*E37</f>
        <v>670000</v>
      </c>
      <c r="I37" s="86">
        <f t="shared" si="0"/>
        <v>179627000.00000003</v>
      </c>
    </row>
    <row r="38" spans="1:9" ht="14.25">
      <c r="A38" s="49"/>
      <c r="B38" s="3" t="s">
        <v>19</v>
      </c>
      <c r="C38" s="4" t="s">
        <v>27</v>
      </c>
      <c r="D38" s="4">
        <v>66</v>
      </c>
      <c r="E38" s="4">
        <v>3630</v>
      </c>
      <c r="F38" s="5"/>
      <c r="G38" s="4"/>
      <c r="H38" s="4">
        <f>D38*E38</f>
        <v>239580</v>
      </c>
      <c r="I38" s="86">
        <f t="shared" si="0"/>
        <v>64231398.00000001</v>
      </c>
    </row>
    <row r="39" spans="1:9" ht="14.25">
      <c r="A39" s="89" t="s">
        <v>53</v>
      </c>
      <c r="B39" s="6" t="s">
        <v>40</v>
      </c>
      <c r="C39" s="30" t="s">
        <v>28</v>
      </c>
      <c r="D39" s="30">
        <v>13.3</v>
      </c>
      <c r="E39" s="7">
        <v>14000</v>
      </c>
      <c r="F39" s="82"/>
      <c r="G39" s="7"/>
      <c r="H39" s="7">
        <f>D39*E39</f>
        <v>186200</v>
      </c>
      <c r="I39" s="87">
        <f t="shared" si="0"/>
        <v>49920220.00000001</v>
      </c>
    </row>
    <row r="40" spans="1:9" ht="14.25">
      <c r="A40" s="24" t="s">
        <v>30</v>
      </c>
      <c r="B40" s="28" t="s">
        <v>102</v>
      </c>
      <c r="C40" s="29"/>
      <c r="D40" s="29"/>
      <c r="E40" s="21"/>
      <c r="F40" s="29"/>
      <c r="G40" s="29"/>
      <c r="H40" s="21">
        <f>H41</f>
        <v>8967710.138109617</v>
      </c>
      <c r="I40" s="21">
        <f t="shared" si="0"/>
        <v>2404243088.0271883</v>
      </c>
    </row>
    <row r="41" spans="1:9" ht="14.25">
      <c r="A41" s="24">
        <v>1</v>
      </c>
      <c r="B41" s="28" t="s">
        <v>16</v>
      </c>
      <c r="C41" s="29"/>
      <c r="D41" s="29"/>
      <c r="E41" s="21"/>
      <c r="F41" s="29">
        <f>SUM(F42:F45)</f>
        <v>62.1927083464524</v>
      </c>
      <c r="G41" s="21">
        <f>1150000*(2.56+0.7)/26</f>
        <v>144192.3076923077</v>
      </c>
      <c r="H41" s="21">
        <f>SUM(H42:H45)</f>
        <v>8967710.138109617</v>
      </c>
      <c r="I41" s="21">
        <f t="shared" si="0"/>
        <v>2404243088.0271883</v>
      </c>
    </row>
    <row r="42" spans="1:9" ht="17.25">
      <c r="A42" s="51"/>
      <c r="B42" s="25" t="s">
        <v>33</v>
      </c>
      <c r="C42" s="26" t="s">
        <v>47</v>
      </c>
      <c r="D42" s="26">
        <v>8333</v>
      </c>
      <c r="E42" s="26">
        <f>470*0.81</f>
        <v>380.70000000000005</v>
      </c>
      <c r="F42" s="27">
        <f>D42/E42</f>
        <v>21.888626214867347</v>
      </c>
      <c r="G42" s="26">
        <f>1150000*(2.56+0.7)/26</f>
        <v>144192.3076923077</v>
      </c>
      <c r="H42" s="26">
        <f>F42*G42</f>
        <v>3156171.526136065</v>
      </c>
      <c r="I42" s="85">
        <f t="shared" si="0"/>
        <v>846169586.1570791</v>
      </c>
    </row>
    <row r="43" spans="1:9" ht="17.25">
      <c r="A43" s="49"/>
      <c r="B43" s="3" t="s">
        <v>34</v>
      </c>
      <c r="C43" s="4" t="s">
        <v>47</v>
      </c>
      <c r="D43" s="4">
        <v>8333</v>
      </c>
      <c r="E43" s="4">
        <f>698*0.81</f>
        <v>565.38</v>
      </c>
      <c r="F43" s="5">
        <f>D43/E43</f>
        <v>14.738759772188617</v>
      </c>
      <c r="G43" s="26">
        <f>1150000*(2.56+0.7)/26</f>
        <v>144192.3076923077</v>
      </c>
      <c r="H43" s="4">
        <f>F43*G43</f>
        <v>2125215.784074428</v>
      </c>
      <c r="I43" s="86">
        <f t="shared" si="0"/>
        <v>569770351.7103542</v>
      </c>
    </row>
    <row r="44" spans="1:9" ht="17.25">
      <c r="A44" s="49"/>
      <c r="B44" s="3" t="s">
        <v>35</v>
      </c>
      <c r="C44" s="4" t="s">
        <v>47</v>
      </c>
      <c r="D44" s="4">
        <v>1333</v>
      </c>
      <c r="E44" s="9">
        <f>90*0.81</f>
        <v>72.9</v>
      </c>
      <c r="F44" s="5">
        <f>D44/E44</f>
        <v>18.28532235939643</v>
      </c>
      <c r="G44" s="26">
        <f>1150000*(2.56+0.7)/26</f>
        <v>144192.3076923077</v>
      </c>
      <c r="H44" s="4">
        <f>F44*G44</f>
        <v>2636602.827899124</v>
      </c>
      <c r="I44" s="86">
        <f t="shared" si="0"/>
        <v>706873218.1597552</v>
      </c>
    </row>
    <row r="45" spans="1:9" ht="14.25">
      <c r="A45" s="50"/>
      <c r="B45" s="6" t="s">
        <v>22</v>
      </c>
      <c r="C45" s="7" t="s">
        <v>29</v>
      </c>
      <c r="D45" s="7">
        <v>1</v>
      </c>
      <c r="E45" s="30">
        <f>7.28</f>
        <v>7.28</v>
      </c>
      <c r="F45" s="30">
        <v>7.28</v>
      </c>
      <c r="G45" s="26">
        <f>1150000*(2.56+0.7)/26</f>
        <v>144192.3076923077</v>
      </c>
      <c r="H45" s="7">
        <f>F45*G45</f>
        <v>1049720</v>
      </c>
      <c r="I45" s="87">
        <f t="shared" si="0"/>
        <v>281429932</v>
      </c>
    </row>
    <row r="46" spans="1:9" ht="14.25">
      <c r="A46" s="24" t="s">
        <v>42</v>
      </c>
      <c r="B46" s="28" t="s">
        <v>103</v>
      </c>
      <c r="C46" s="29"/>
      <c r="D46" s="29"/>
      <c r="E46" s="29"/>
      <c r="F46" s="29"/>
      <c r="G46" s="29"/>
      <c r="H46" s="21">
        <f>H47</f>
        <v>8816788.000522</v>
      </c>
      <c r="I46" s="21">
        <f t="shared" si="0"/>
        <v>2363780862.9399486</v>
      </c>
    </row>
    <row r="47" spans="1:9" ht="14.25">
      <c r="A47" s="24">
        <v>1</v>
      </c>
      <c r="B47" s="28" t="s">
        <v>16</v>
      </c>
      <c r="C47" s="29"/>
      <c r="D47" s="29"/>
      <c r="E47" s="32"/>
      <c r="F47" s="29">
        <f>SUM(F48:F51)</f>
        <v>61.14603574648493</v>
      </c>
      <c r="G47" s="21">
        <f>1150000*(2.56+0.7)/26</f>
        <v>144192.3076923077</v>
      </c>
      <c r="H47" s="21">
        <f>SUM(H48:H51)</f>
        <v>8816788.000522</v>
      </c>
      <c r="I47" s="21">
        <f t="shared" si="0"/>
        <v>2363780862.9399486</v>
      </c>
    </row>
    <row r="48" spans="1:9" ht="17.25">
      <c r="A48" s="51"/>
      <c r="B48" s="25" t="s">
        <v>33</v>
      </c>
      <c r="C48" s="26" t="s">
        <v>47</v>
      </c>
      <c r="D48" s="26">
        <v>8333</v>
      </c>
      <c r="E48" s="26">
        <f>567*0.81</f>
        <v>459.27000000000004</v>
      </c>
      <c r="F48" s="27">
        <f>D48/E48</f>
        <v>18.144011148126374</v>
      </c>
      <c r="G48" s="26">
        <f>1150000*(2.56+0.7)/26</f>
        <v>144192.3076923077</v>
      </c>
      <c r="H48" s="26">
        <f>F48*G48</f>
        <v>2616226.838243299</v>
      </c>
      <c r="I48" s="85">
        <f t="shared" si="0"/>
        <v>701410415.3330286</v>
      </c>
    </row>
    <row r="49" spans="1:9" ht="17.25">
      <c r="A49" s="49"/>
      <c r="B49" s="3" t="s">
        <v>34</v>
      </c>
      <c r="C49" s="4" t="s">
        <v>47</v>
      </c>
      <c r="D49" s="4">
        <v>8333</v>
      </c>
      <c r="E49" s="3">
        <f>590*0.81</f>
        <v>477.90000000000003</v>
      </c>
      <c r="F49" s="5">
        <f>D49/E49</f>
        <v>17.436702238962123</v>
      </c>
      <c r="G49" s="26">
        <f>1150000*(2.56+0.7)/26</f>
        <v>144192.3076923077</v>
      </c>
      <c r="H49" s="4">
        <f>F49*G49</f>
        <v>2514238.334379577</v>
      </c>
      <c r="I49" s="86">
        <f t="shared" si="0"/>
        <v>674067297.4471647</v>
      </c>
    </row>
    <row r="50" spans="1:9" ht="17.25">
      <c r="A50" s="49"/>
      <c r="B50" s="3" t="s">
        <v>35</v>
      </c>
      <c r="C50" s="4" t="s">
        <v>47</v>
      </c>
      <c r="D50" s="4">
        <v>1333</v>
      </c>
      <c r="E50" s="3">
        <f>90*0.81</f>
        <v>72.9</v>
      </c>
      <c r="F50" s="5">
        <f>D50/E50</f>
        <v>18.28532235939643</v>
      </c>
      <c r="G50" s="26">
        <f>1150000*(2.56+0.7)/26</f>
        <v>144192.3076923077</v>
      </c>
      <c r="H50" s="4">
        <f>F50*G50</f>
        <v>2636602.827899124</v>
      </c>
      <c r="I50" s="86">
        <f t="shared" si="0"/>
        <v>706873218.1597552</v>
      </c>
    </row>
    <row r="51" spans="1:9" ht="14.25">
      <c r="A51" s="50"/>
      <c r="B51" s="6" t="s">
        <v>22</v>
      </c>
      <c r="C51" s="7" t="s">
        <v>29</v>
      </c>
      <c r="D51" s="7">
        <v>1</v>
      </c>
      <c r="E51" s="81">
        <f>7.28</f>
        <v>7.28</v>
      </c>
      <c r="F51" s="6">
        <v>7.28</v>
      </c>
      <c r="G51" s="26">
        <f>1150000*(2.56+0.7)/26</f>
        <v>144192.3076923077</v>
      </c>
      <c r="H51" s="7">
        <f>F51*G51</f>
        <v>1049720</v>
      </c>
      <c r="I51" s="87">
        <f t="shared" si="0"/>
        <v>281429932</v>
      </c>
    </row>
    <row r="52" spans="1:9" ht="14.25">
      <c r="A52" s="24" t="s">
        <v>43</v>
      </c>
      <c r="B52" s="28" t="s">
        <v>104</v>
      </c>
      <c r="C52" s="29"/>
      <c r="D52" s="29"/>
      <c r="E52" s="28"/>
      <c r="F52" s="28"/>
      <c r="G52" s="28"/>
      <c r="H52" s="21">
        <f>H53</f>
        <v>6200561.162278701</v>
      </c>
      <c r="I52" s="21">
        <f t="shared" si="0"/>
        <v>1662370447.6069198</v>
      </c>
    </row>
    <row r="53" spans="1:9" ht="14.25">
      <c r="A53" s="24">
        <v>1</v>
      </c>
      <c r="B53" s="28" t="s">
        <v>16</v>
      </c>
      <c r="C53" s="29"/>
      <c r="D53" s="29"/>
      <c r="E53" s="33"/>
      <c r="F53" s="35">
        <f>F54+F55+F56</f>
        <v>43.00202459835856</v>
      </c>
      <c r="G53" s="31">
        <f>1150000*(2.56+0.7)/26</f>
        <v>144192.3076923077</v>
      </c>
      <c r="H53" s="21">
        <f>H54+H55+H56</f>
        <v>6200561.162278701</v>
      </c>
      <c r="I53" s="21">
        <f t="shared" si="0"/>
        <v>1662370447.6069198</v>
      </c>
    </row>
    <row r="54" spans="1:9" ht="17.25">
      <c r="A54" s="51"/>
      <c r="B54" s="25" t="s">
        <v>33</v>
      </c>
      <c r="C54" s="26" t="s">
        <v>47</v>
      </c>
      <c r="D54" s="26">
        <v>8333</v>
      </c>
      <c r="E54" s="25">
        <f>590*0.81</f>
        <v>477.90000000000003</v>
      </c>
      <c r="F54" s="34">
        <f>D54/E54</f>
        <v>17.436702238962123</v>
      </c>
      <c r="G54" s="90">
        <f>1150000*(2.56+0.7)/26</f>
        <v>144192.3076923077</v>
      </c>
      <c r="H54" s="90">
        <f>F54*G54</f>
        <v>2514238.334379577</v>
      </c>
      <c r="I54" s="85">
        <f t="shared" si="0"/>
        <v>674067297.4471647</v>
      </c>
    </row>
    <row r="55" spans="1:9" ht="17.25">
      <c r="A55" s="49"/>
      <c r="B55" s="3" t="s">
        <v>35</v>
      </c>
      <c r="C55" s="4" t="s">
        <v>47</v>
      </c>
      <c r="D55" s="4">
        <v>1333</v>
      </c>
      <c r="E55" s="3">
        <f>90*0.81</f>
        <v>72.9</v>
      </c>
      <c r="F55" s="10">
        <f>D55/E55</f>
        <v>18.28532235939643</v>
      </c>
      <c r="G55" s="4">
        <f>1150000*(2.56+0.7)/26</f>
        <v>144192.3076923077</v>
      </c>
      <c r="H55" s="4">
        <f>F55*G55</f>
        <v>2636602.827899124</v>
      </c>
      <c r="I55" s="86">
        <f t="shared" si="0"/>
        <v>706873218.1597552</v>
      </c>
    </row>
    <row r="56" spans="1:9" ht="14.25">
      <c r="A56" s="50"/>
      <c r="B56" s="6" t="s">
        <v>22</v>
      </c>
      <c r="C56" s="7" t="s">
        <v>29</v>
      </c>
      <c r="D56" s="7">
        <v>1</v>
      </c>
      <c r="E56" s="81">
        <f>7.28</f>
        <v>7.28</v>
      </c>
      <c r="F56" s="6">
        <v>7.28</v>
      </c>
      <c r="G56" s="54">
        <f>1150000*(2.56+0.7)/26</f>
        <v>144192.3076923077</v>
      </c>
      <c r="H56" s="54">
        <f>F56*G56</f>
        <v>1049720</v>
      </c>
      <c r="I56" s="87">
        <f t="shared" si="0"/>
        <v>281429932</v>
      </c>
    </row>
    <row r="57" spans="1:9" ht="14.25">
      <c r="A57" s="24" t="s">
        <v>44</v>
      </c>
      <c r="B57" s="28" t="s">
        <v>105</v>
      </c>
      <c r="C57" s="28"/>
      <c r="D57" s="28"/>
      <c r="E57" s="28"/>
      <c r="F57" s="28">
        <f>F58*5</f>
        <v>36.4</v>
      </c>
      <c r="G57" s="21">
        <f>G58</f>
        <v>144192.3076923077</v>
      </c>
      <c r="H57" s="21">
        <f>H58*5</f>
        <v>5248600</v>
      </c>
      <c r="I57" s="21">
        <f t="shared" si="0"/>
        <v>1407149660.0000002</v>
      </c>
    </row>
    <row r="58" spans="1:10" ht="14.25">
      <c r="A58" s="3"/>
      <c r="B58" s="3" t="s">
        <v>45</v>
      </c>
      <c r="C58" s="3" t="s">
        <v>29</v>
      </c>
      <c r="D58" s="3">
        <v>1</v>
      </c>
      <c r="E58" s="10">
        <f>7.28</f>
        <v>7.28</v>
      </c>
      <c r="F58" s="3">
        <v>7.28</v>
      </c>
      <c r="G58" s="4">
        <f>1150000*(2.56+0.7)/26</f>
        <v>144192.3076923077</v>
      </c>
      <c r="H58" s="4">
        <f>F58*G58</f>
        <v>1049720</v>
      </c>
      <c r="I58" s="21">
        <f>H58*268.1</f>
        <v>281429932</v>
      </c>
      <c r="J58" s="2"/>
    </row>
    <row r="59" spans="1:9" ht="15">
      <c r="A59" s="230" t="s">
        <v>46</v>
      </c>
      <c r="B59" s="230"/>
      <c r="C59" s="230"/>
      <c r="D59" s="230"/>
      <c r="E59" s="230"/>
      <c r="F59" s="230"/>
      <c r="G59" s="230"/>
      <c r="H59" s="8">
        <f>H9+H24+H57</f>
        <v>78979048.62029137</v>
      </c>
      <c r="I59" s="8">
        <f>I9+I24+I57</f>
        <v>21174282935.100117</v>
      </c>
    </row>
    <row r="60" ht="6.75" customHeight="1"/>
    <row r="61" spans="1:8" ht="14.25">
      <c r="A61" s="232" t="s">
        <v>48</v>
      </c>
      <c r="B61" s="232"/>
      <c r="C61" s="1"/>
      <c r="D61" s="1"/>
      <c r="E61" s="1"/>
      <c r="F61" s="1"/>
      <c r="G61" s="1"/>
      <c r="H61" s="2"/>
    </row>
    <row r="62" spans="2:8" ht="14.25">
      <c r="B62" s="1" t="s">
        <v>49</v>
      </c>
      <c r="C62" s="1"/>
      <c r="D62" s="1"/>
      <c r="E62" s="1"/>
      <c r="F62" s="1"/>
      <c r="G62" s="1"/>
      <c r="H62" s="2"/>
    </row>
    <row r="63" spans="2:9" ht="14.25">
      <c r="B63" s="215" t="s">
        <v>106</v>
      </c>
      <c r="C63" s="215"/>
      <c r="D63" s="215"/>
      <c r="E63" s="215"/>
      <c r="F63" s="215"/>
      <c r="G63" s="215"/>
      <c r="H63" s="215"/>
      <c r="I63" s="215"/>
    </row>
    <row r="64" spans="2:7" ht="14.25">
      <c r="B64" s="215" t="s">
        <v>111</v>
      </c>
      <c r="C64" s="215"/>
      <c r="D64" s="215"/>
      <c r="E64" s="1"/>
      <c r="F64" s="1"/>
      <c r="G64" s="1"/>
    </row>
    <row r="65" spans="2:7" ht="14.25">
      <c r="B65" s="1"/>
      <c r="C65" s="1"/>
      <c r="D65" s="1"/>
      <c r="E65" s="1"/>
      <c r="F65" s="1"/>
      <c r="G65" s="1"/>
    </row>
  </sheetData>
  <sheetProtection/>
  <mergeCells count="27">
    <mergeCell ref="B64:D64"/>
    <mergeCell ref="A59:G59"/>
    <mergeCell ref="A7:A8"/>
    <mergeCell ref="B7:B8"/>
    <mergeCell ref="C7:C8"/>
    <mergeCell ref="D7:D8"/>
    <mergeCell ref="E7:E8"/>
    <mergeCell ref="F7:F8"/>
    <mergeCell ref="G7:G8"/>
    <mergeCell ref="A61:B61"/>
    <mergeCell ref="A1:I1"/>
    <mergeCell ref="A4:I4"/>
    <mergeCell ref="A5:I5"/>
    <mergeCell ref="H7:H8"/>
    <mergeCell ref="A2:I2"/>
    <mergeCell ref="A3:I3"/>
    <mergeCell ref="A6:I6"/>
    <mergeCell ref="B63:I63"/>
    <mergeCell ref="O7:O8"/>
    <mergeCell ref="J19:M19"/>
    <mergeCell ref="K18:N18"/>
    <mergeCell ref="J7:J8"/>
    <mergeCell ref="K7:K8"/>
    <mergeCell ref="L7:L8"/>
    <mergeCell ref="M7:M8"/>
    <mergeCell ref="N7:N8"/>
    <mergeCell ref="I7:I8"/>
  </mergeCells>
  <printOptions/>
  <pageMargins left="0.89" right="0.55" top="0.41" bottom="0.2" header="0" footer="0"/>
  <pageSetup horizontalDpi="600" verticalDpi="600" orientation="landscape" r:id="rId1"/>
  <headerFooter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4.8515625" style="0" customWidth="1"/>
    <col min="2" max="2" width="28.28125" style="0" customWidth="1"/>
    <col min="3" max="3" width="7.57421875" style="0" customWidth="1"/>
    <col min="4" max="4" width="8.00390625" style="0" customWidth="1"/>
    <col min="5" max="5" width="8.140625" style="0" customWidth="1"/>
    <col min="6" max="6" width="8.8515625" style="0" customWidth="1"/>
    <col min="7" max="7" width="12.8515625" style="0" customWidth="1"/>
    <col min="8" max="8" width="17.57421875" style="0" customWidth="1"/>
    <col min="9" max="9" width="13.8515625" style="0" hidden="1" customWidth="1"/>
    <col min="10" max="10" width="13.00390625" style="0" hidden="1" customWidth="1"/>
    <col min="11" max="11" width="12.57421875" style="0" hidden="1" customWidth="1"/>
    <col min="14" max="14" width="10.00390625" style="0" bestFit="1" customWidth="1"/>
  </cols>
  <sheetData>
    <row r="1" spans="1:8" ht="33" customHeight="1">
      <c r="A1" s="226" t="s">
        <v>148</v>
      </c>
      <c r="B1" s="227"/>
      <c r="C1" s="227"/>
      <c r="D1" s="227"/>
      <c r="E1" s="227"/>
      <c r="F1" s="227"/>
      <c r="G1" s="227"/>
      <c r="H1" s="227"/>
    </row>
    <row r="2" spans="1:8" ht="20.25" customHeight="1">
      <c r="A2" s="236" t="str">
        <f>'biểu 1'!A6:I6</f>
        <v>(Kèm theo Quyết định số     1518  /QĐ-UBND ngày  27 tháng 4 năm 2015 của của UBND tỉnh Quảng Nam)</v>
      </c>
      <c r="B2" s="236"/>
      <c r="C2" s="236"/>
      <c r="D2" s="236"/>
      <c r="E2" s="236"/>
      <c r="F2" s="236"/>
      <c r="G2" s="236"/>
      <c r="H2" s="236"/>
    </row>
    <row r="3" spans="7:8" ht="14.25">
      <c r="G3" s="235" t="s">
        <v>114</v>
      </c>
      <c r="H3" s="235"/>
    </row>
    <row r="4" spans="1:11" ht="30.75">
      <c r="A4" s="11" t="s">
        <v>0</v>
      </c>
      <c r="B4" s="12" t="s">
        <v>50</v>
      </c>
      <c r="C4" s="12" t="s">
        <v>2</v>
      </c>
      <c r="D4" s="12" t="s">
        <v>3</v>
      </c>
      <c r="E4" s="12" t="s">
        <v>5</v>
      </c>
      <c r="F4" s="12" t="s">
        <v>51</v>
      </c>
      <c r="G4" s="12" t="s">
        <v>123</v>
      </c>
      <c r="H4" s="12" t="s">
        <v>124</v>
      </c>
      <c r="K4">
        <v>65.057</v>
      </c>
    </row>
    <row r="5" spans="1:11" ht="15">
      <c r="A5" s="11">
        <v>1</v>
      </c>
      <c r="B5" s="13" t="s">
        <v>52</v>
      </c>
      <c r="C5" s="59" t="s">
        <v>29</v>
      </c>
      <c r="D5" s="59">
        <v>1</v>
      </c>
      <c r="E5" s="42">
        <f>E6</f>
        <v>183.3445352977967</v>
      </c>
      <c r="F5" s="12"/>
      <c r="G5" s="16">
        <f>'biểu 1'!H9</f>
        <v>38289661.64736307</v>
      </c>
      <c r="H5" s="158">
        <f>G5*268.1</f>
        <v>10265458287.65804</v>
      </c>
      <c r="J5" s="57">
        <f>J6+J7</f>
        <v>38289661.64736307</v>
      </c>
      <c r="K5">
        <f>J5*$K$4</f>
        <v>2491010517.792499</v>
      </c>
    </row>
    <row r="6" spans="1:11" ht="15">
      <c r="A6" s="63" t="s">
        <v>53</v>
      </c>
      <c r="B6" s="64" t="s">
        <v>16</v>
      </c>
      <c r="C6" s="65" t="s">
        <v>29</v>
      </c>
      <c r="D6" s="66">
        <v>1</v>
      </c>
      <c r="E6" s="67">
        <f>'biểu 1'!F11</f>
        <v>183.3445352977967</v>
      </c>
      <c r="F6" s="68"/>
      <c r="G6" s="69">
        <f>'biểu 1'!H11</f>
        <v>26436871.64736307</v>
      </c>
      <c r="H6" s="158">
        <f aca="true" t="shared" si="0" ref="H6:H19">G6*268.1</f>
        <v>7087725288.65804</v>
      </c>
      <c r="I6" s="2"/>
      <c r="J6" s="2">
        <f>'biểu 1'!H11</f>
        <v>26436871.64736307</v>
      </c>
      <c r="K6">
        <f aca="true" t="shared" si="1" ref="K6:K18">J6*$K$4</f>
        <v>1719903558.7624993</v>
      </c>
    </row>
    <row r="7" spans="1:11" ht="15">
      <c r="A7" s="70" t="s">
        <v>53</v>
      </c>
      <c r="B7" s="71" t="s">
        <v>17</v>
      </c>
      <c r="C7" s="44" t="s">
        <v>29</v>
      </c>
      <c r="D7" s="15">
        <v>1</v>
      </c>
      <c r="E7" s="17"/>
      <c r="F7" s="14"/>
      <c r="G7" s="72">
        <f>'biểu 1'!H19</f>
        <v>11852790</v>
      </c>
      <c r="H7" s="158">
        <f t="shared" si="0"/>
        <v>3177732999.0000005</v>
      </c>
      <c r="J7" s="2">
        <f>'biểu 1'!H19</f>
        <v>11852790</v>
      </c>
      <c r="K7">
        <f t="shared" si="1"/>
        <v>771106959.03</v>
      </c>
    </row>
    <row r="8" spans="1:11" ht="15">
      <c r="A8" s="11">
        <v>2</v>
      </c>
      <c r="B8" s="13" t="s">
        <v>32</v>
      </c>
      <c r="C8" s="44" t="s">
        <v>29</v>
      </c>
      <c r="D8" s="15">
        <v>1</v>
      </c>
      <c r="E8" s="17"/>
      <c r="F8" s="45"/>
      <c r="G8" s="16">
        <f>G9+G12+G14+G16</f>
        <v>35440786.9729283</v>
      </c>
      <c r="H8" s="158">
        <f t="shared" si="0"/>
        <v>9501674987.442078</v>
      </c>
      <c r="I8" s="2"/>
      <c r="J8" s="57">
        <f>J9+J12+J14+J16</f>
        <v>35440786.9729283</v>
      </c>
      <c r="K8" s="58">
        <f t="shared" si="1"/>
        <v>2305671278.0977964</v>
      </c>
    </row>
    <row r="9" spans="1:11" ht="15">
      <c r="A9" s="11" t="s">
        <v>54</v>
      </c>
      <c r="B9" s="13" t="s">
        <v>97</v>
      </c>
      <c r="C9" s="44" t="s">
        <v>29</v>
      </c>
      <c r="D9" s="15">
        <v>1</v>
      </c>
      <c r="E9" s="48">
        <f>E10</f>
        <v>71.84813002733196</v>
      </c>
      <c r="F9" s="45"/>
      <c r="G9" s="16">
        <f>SUM(G10:G11)</f>
        <v>11455727.672017982</v>
      </c>
      <c r="H9" s="158">
        <f t="shared" si="0"/>
        <v>3071280588.8680215</v>
      </c>
      <c r="I9" s="2"/>
      <c r="J9" s="57">
        <f>J10+J11</f>
        <v>11455727.672017982</v>
      </c>
      <c r="K9" s="58">
        <f t="shared" si="1"/>
        <v>745275275.1584738</v>
      </c>
    </row>
    <row r="10" spans="1:11" ht="15">
      <c r="A10" s="63" t="s">
        <v>53</v>
      </c>
      <c r="B10" s="64" t="s">
        <v>16</v>
      </c>
      <c r="C10" s="65" t="s">
        <v>29</v>
      </c>
      <c r="D10" s="66">
        <v>1</v>
      </c>
      <c r="E10" s="73">
        <f>'biểu 1'!F26</f>
        <v>71.84813002733196</v>
      </c>
      <c r="F10" s="68">
        <f>'biểu 1'!G26</f>
        <v>144192.3076923077</v>
      </c>
      <c r="G10" s="69">
        <f>E10*F10</f>
        <v>10359947.672017982</v>
      </c>
      <c r="H10" s="158">
        <f t="shared" si="0"/>
        <v>2777501970.8680215</v>
      </c>
      <c r="J10" s="2">
        <f>'biểu 1'!H26</f>
        <v>10359947.672017982</v>
      </c>
      <c r="K10">
        <f t="shared" si="1"/>
        <v>673987115.6984739</v>
      </c>
    </row>
    <row r="11" spans="1:11" ht="15">
      <c r="A11" s="70" t="s">
        <v>53</v>
      </c>
      <c r="B11" s="71" t="s">
        <v>17</v>
      </c>
      <c r="C11" s="44" t="s">
        <v>29</v>
      </c>
      <c r="D11" s="15">
        <v>1</v>
      </c>
      <c r="E11" s="17"/>
      <c r="F11" s="14"/>
      <c r="G11" s="72">
        <f>'biểu 1'!H35</f>
        <v>1095780</v>
      </c>
      <c r="H11" s="158">
        <f t="shared" si="0"/>
        <v>293778618</v>
      </c>
      <c r="J11" s="2">
        <f>'biểu 1'!H35</f>
        <v>1095780</v>
      </c>
      <c r="K11">
        <f t="shared" si="1"/>
        <v>71288159.46000001</v>
      </c>
    </row>
    <row r="12" spans="1:11" ht="15">
      <c r="A12" s="11" t="s">
        <v>55</v>
      </c>
      <c r="B12" s="13" t="s">
        <v>98</v>
      </c>
      <c r="C12" s="44" t="s">
        <v>29</v>
      </c>
      <c r="D12" s="15">
        <v>1</v>
      </c>
      <c r="E12" s="48">
        <f>E13</f>
        <v>62.1927083464524</v>
      </c>
      <c r="F12" s="14"/>
      <c r="G12" s="16">
        <f>SUM(G13:G13)</f>
        <v>8967710.138109617</v>
      </c>
      <c r="H12" s="158">
        <f t="shared" si="0"/>
        <v>2404243088.0271883</v>
      </c>
      <c r="I12" s="2"/>
      <c r="J12" s="57">
        <f>J13</f>
        <v>8967710.138109617</v>
      </c>
      <c r="K12" s="58">
        <f t="shared" si="1"/>
        <v>583412318.4549974</v>
      </c>
    </row>
    <row r="13" spans="1:11" ht="15">
      <c r="A13" s="36" t="s">
        <v>53</v>
      </c>
      <c r="B13" s="37" t="s">
        <v>16</v>
      </c>
      <c r="C13" s="38" t="s">
        <v>29</v>
      </c>
      <c r="D13" s="39">
        <v>1</v>
      </c>
      <c r="E13" s="43">
        <f>'biểu 1'!F41</f>
        <v>62.1927083464524</v>
      </c>
      <c r="F13" s="40">
        <f>'biểu 1'!G41</f>
        <v>144192.3076923077</v>
      </c>
      <c r="G13" s="41">
        <f>E13*F13</f>
        <v>8967710.138109617</v>
      </c>
      <c r="H13" s="158">
        <f t="shared" si="0"/>
        <v>2404243088.0271883</v>
      </c>
      <c r="J13" s="2">
        <f>'biểu 1'!H41</f>
        <v>8967710.138109617</v>
      </c>
      <c r="K13">
        <f t="shared" si="1"/>
        <v>583412318.4549974</v>
      </c>
    </row>
    <row r="14" spans="1:11" ht="15">
      <c r="A14" s="11" t="s">
        <v>56</v>
      </c>
      <c r="B14" s="13" t="s">
        <v>99</v>
      </c>
      <c r="C14" s="44" t="s">
        <v>29</v>
      </c>
      <c r="D14" s="15">
        <v>1</v>
      </c>
      <c r="E14" s="48">
        <f>E15</f>
        <v>61.14603574648493</v>
      </c>
      <c r="F14" s="45">
        <f>'biểu 1'!G47</f>
        <v>144192.3076923077</v>
      </c>
      <c r="G14" s="16">
        <f>E14*F14</f>
        <v>8816788.000521999</v>
      </c>
      <c r="H14" s="158">
        <f t="shared" si="0"/>
        <v>2363780862.939948</v>
      </c>
      <c r="I14" s="2"/>
      <c r="J14" s="57">
        <f>J15</f>
        <v>8816788.000522</v>
      </c>
      <c r="K14" s="58">
        <f t="shared" si="1"/>
        <v>573593776.9499599</v>
      </c>
    </row>
    <row r="15" spans="1:11" ht="15">
      <c r="A15" s="36" t="s">
        <v>53</v>
      </c>
      <c r="B15" s="37" t="s">
        <v>16</v>
      </c>
      <c r="C15" s="38" t="s">
        <v>29</v>
      </c>
      <c r="D15" s="39">
        <v>1</v>
      </c>
      <c r="E15" s="43">
        <f>'biểu 1'!F47</f>
        <v>61.14603574648493</v>
      </c>
      <c r="F15" s="40">
        <f>(2.56+0.7)*1150000/26</f>
        <v>144192.3076923077</v>
      </c>
      <c r="G15" s="41">
        <f>E15*F15</f>
        <v>8816788.000521999</v>
      </c>
      <c r="H15" s="158">
        <f t="shared" si="0"/>
        <v>2363780862.939948</v>
      </c>
      <c r="J15" s="2">
        <f>'biểu 1'!H47</f>
        <v>8816788.000522</v>
      </c>
      <c r="K15">
        <f t="shared" si="1"/>
        <v>573593776.9499599</v>
      </c>
    </row>
    <row r="16" spans="1:11" ht="15">
      <c r="A16" s="11" t="s">
        <v>57</v>
      </c>
      <c r="B16" s="13" t="s">
        <v>100</v>
      </c>
      <c r="C16" s="44" t="s">
        <v>29</v>
      </c>
      <c r="D16" s="15">
        <v>1</v>
      </c>
      <c r="E16" s="48">
        <f>E17</f>
        <v>43.00202459835856</v>
      </c>
      <c r="F16" s="45">
        <f>'biểu 1'!G53</f>
        <v>144192.3076923077</v>
      </c>
      <c r="G16" s="16">
        <f>'biểu 1'!H53</f>
        <v>6200561.162278701</v>
      </c>
      <c r="H16" s="158">
        <f t="shared" si="0"/>
        <v>1662370447.6069198</v>
      </c>
      <c r="I16" s="2"/>
      <c r="J16" s="57">
        <f>J17</f>
        <v>6200561.162278701</v>
      </c>
      <c r="K16" s="58">
        <f t="shared" si="1"/>
        <v>403389907.5343654</v>
      </c>
    </row>
    <row r="17" spans="1:11" ht="15">
      <c r="A17" s="36" t="s">
        <v>53</v>
      </c>
      <c r="B17" s="37" t="s">
        <v>16</v>
      </c>
      <c r="C17" s="38" t="s">
        <v>29</v>
      </c>
      <c r="D17" s="39">
        <v>1</v>
      </c>
      <c r="E17" s="43">
        <f>'biểu 1'!F53</f>
        <v>43.00202459835856</v>
      </c>
      <c r="F17" s="40">
        <f>(2.56+0.7)*1150000/26</f>
        <v>144192.3076923077</v>
      </c>
      <c r="G17" s="41">
        <f>'biểu 1'!H53</f>
        <v>6200561.162278701</v>
      </c>
      <c r="H17" s="158">
        <f t="shared" si="0"/>
        <v>1662370447.6069198</v>
      </c>
      <c r="J17" s="2">
        <f>'biểu 1'!H53</f>
        <v>6200561.162278701</v>
      </c>
      <c r="K17">
        <f t="shared" si="1"/>
        <v>403389907.5343654</v>
      </c>
    </row>
    <row r="18" spans="1:11" ht="18.75" customHeight="1">
      <c r="A18" s="11" t="s">
        <v>9</v>
      </c>
      <c r="B18" s="13" t="s">
        <v>87</v>
      </c>
      <c r="C18" s="46"/>
      <c r="D18" s="47"/>
      <c r="E18" s="48">
        <v>36.4</v>
      </c>
      <c r="F18" s="45">
        <f>F17</f>
        <v>144192.3076923077</v>
      </c>
      <c r="G18" s="16">
        <f>E18*F18</f>
        <v>5248600</v>
      </c>
      <c r="H18" s="158">
        <f t="shared" si="0"/>
        <v>1407149660.0000002</v>
      </c>
      <c r="J18" s="57" t="e">
        <f>#REF!</f>
        <v>#REF!</v>
      </c>
      <c r="K18" s="58" t="e">
        <f t="shared" si="1"/>
        <v>#REF!</v>
      </c>
    </row>
    <row r="19" spans="1:11" ht="15">
      <c r="A19" s="11" t="s">
        <v>30</v>
      </c>
      <c r="B19" s="13" t="s">
        <v>59</v>
      </c>
      <c r="C19" s="14"/>
      <c r="D19" s="15"/>
      <c r="E19" s="17"/>
      <c r="F19" s="14"/>
      <c r="G19" s="16">
        <f>G5+G8+G18</f>
        <v>78979048.62029137</v>
      </c>
      <c r="H19" s="158">
        <f t="shared" si="0"/>
        <v>21174282935.100117</v>
      </c>
      <c r="I19" s="2">
        <f>H19-'biểu 1'!I59</f>
        <v>0</v>
      </c>
      <c r="J19" s="57" t="e">
        <f>J5+J8+J18</f>
        <v>#REF!</v>
      </c>
      <c r="K19" s="57" t="e">
        <f>K5+K8+K18</f>
        <v>#REF!</v>
      </c>
    </row>
    <row r="20" spans="1:8" ht="15">
      <c r="A20" s="91" t="s">
        <v>42</v>
      </c>
      <c r="B20" s="92" t="s">
        <v>115</v>
      </c>
      <c r="C20" s="18"/>
      <c r="D20" s="18"/>
      <c r="E20" s="18"/>
      <c r="F20" s="18"/>
      <c r="G20" s="93"/>
      <c r="H20" s="94">
        <f>H19*5%</f>
        <v>1058714146.7550058</v>
      </c>
    </row>
    <row r="21" spans="1:11" ht="15">
      <c r="A21" s="91" t="s">
        <v>43</v>
      </c>
      <c r="B21" s="92" t="s">
        <v>116</v>
      </c>
      <c r="C21" s="18"/>
      <c r="D21" s="18"/>
      <c r="E21" s="18"/>
      <c r="F21" s="18"/>
      <c r="G21" s="19"/>
      <c r="H21" s="94">
        <f>(H19+H20)*5.5%</f>
        <v>1222814839.5020318</v>
      </c>
      <c r="K21">
        <f>G18/5</f>
        <v>1049720</v>
      </c>
    </row>
    <row r="22" spans="1:8" ht="15">
      <c r="A22" s="95" t="s">
        <v>76</v>
      </c>
      <c r="B22" s="92" t="s">
        <v>117</v>
      </c>
      <c r="C22" s="18"/>
      <c r="D22" s="18"/>
      <c r="E22" s="18"/>
      <c r="F22" s="18"/>
      <c r="G22" s="93"/>
      <c r="H22" s="159">
        <f>(H19+H20+H21)*5%</f>
        <v>1172790596.0678577</v>
      </c>
    </row>
    <row r="23" spans="1:10" ht="15">
      <c r="A23" s="95" t="s">
        <v>77</v>
      </c>
      <c r="B23" s="92" t="s">
        <v>118</v>
      </c>
      <c r="C23" s="18"/>
      <c r="D23" s="18"/>
      <c r="E23" s="18"/>
      <c r="F23" s="18"/>
      <c r="G23" s="19"/>
      <c r="H23" s="159">
        <f>(H19+H20+H21+H22)*2.125%</f>
        <v>523357803.4952815</v>
      </c>
      <c r="J23" s="2">
        <f>H19-'biểu 3 (2)'!M23</f>
        <v>0</v>
      </c>
    </row>
    <row r="24" spans="1:11" ht="15">
      <c r="A24" s="95" t="s">
        <v>78</v>
      </c>
      <c r="B24" s="92" t="s">
        <v>119</v>
      </c>
      <c r="C24" s="18"/>
      <c r="D24" s="18"/>
      <c r="E24" s="18"/>
      <c r="F24" s="18"/>
      <c r="G24" s="19"/>
      <c r="H24" s="159">
        <f>(H19+H20+H21+H22)*7.875%</f>
        <v>1939502448.2472196</v>
      </c>
      <c r="J24" s="2">
        <f>H19-'biểu 1'!I59</f>
        <v>0</v>
      </c>
      <c r="K24">
        <v>7.875</v>
      </c>
    </row>
    <row r="25" spans="1:11" ht="15">
      <c r="A25" s="203" t="s">
        <v>53</v>
      </c>
      <c r="B25" s="204" t="s">
        <v>140</v>
      </c>
      <c r="C25" s="205"/>
      <c r="D25" s="205"/>
      <c r="E25" s="205"/>
      <c r="F25" s="205"/>
      <c r="G25" s="206"/>
      <c r="H25" s="195">
        <f>H19*0.423%</f>
        <v>89567216.8154735</v>
      </c>
      <c r="J25" s="2"/>
      <c r="K25">
        <v>4.28</v>
      </c>
    </row>
    <row r="26" spans="1:10" ht="15">
      <c r="A26" s="207" t="s">
        <v>53</v>
      </c>
      <c r="B26" s="208" t="s">
        <v>141</v>
      </c>
      <c r="C26" s="209"/>
      <c r="D26" s="209"/>
      <c r="E26" s="209"/>
      <c r="F26" s="209"/>
      <c r="G26" s="210"/>
      <c r="H26" s="196">
        <f>H19*0.063%</f>
        <v>13339798.249113074</v>
      </c>
      <c r="J26" s="2"/>
    </row>
    <row r="27" spans="1:10" ht="15">
      <c r="A27" s="202" t="s">
        <v>53</v>
      </c>
      <c r="B27" s="211" t="s">
        <v>142</v>
      </c>
      <c r="C27" s="99"/>
      <c r="D27" s="99"/>
      <c r="E27" s="99"/>
      <c r="F27" s="99"/>
      <c r="G27" s="100"/>
      <c r="H27" s="196">
        <f>H24-H25-H26</f>
        <v>1836595433.182633</v>
      </c>
      <c r="J27" s="2"/>
    </row>
    <row r="28" spans="1:8" ht="15">
      <c r="A28" s="95" t="s">
        <v>79</v>
      </c>
      <c r="B28" s="92" t="s">
        <v>108</v>
      </c>
      <c r="C28" s="18"/>
      <c r="D28" s="18"/>
      <c r="E28" s="18"/>
      <c r="F28" s="18"/>
      <c r="G28" s="19"/>
      <c r="H28" s="20">
        <f>H29+H30</f>
        <v>3065280532.6662254</v>
      </c>
    </row>
    <row r="29" spans="1:9" ht="15">
      <c r="A29" s="201" t="s">
        <v>53</v>
      </c>
      <c r="B29" s="103" t="s">
        <v>89</v>
      </c>
      <c r="C29" s="96"/>
      <c r="D29" s="96"/>
      <c r="E29" s="96"/>
      <c r="F29" s="96"/>
      <c r="G29" s="97"/>
      <c r="H29" s="98">
        <f>(H19+H20+H21)*5%</f>
        <v>1172790596.0678577</v>
      </c>
      <c r="I29" s="2">
        <f>H29-'biểu 3 (2)'!M30</f>
        <v>0</v>
      </c>
    </row>
    <row r="30" spans="1:8" ht="15">
      <c r="A30" s="202" t="s">
        <v>53</v>
      </c>
      <c r="B30" s="102" t="s">
        <v>90</v>
      </c>
      <c r="C30" s="99"/>
      <c r="D30" s="99"/>
      <c r="E30" s="99"/>
      <c r="F30" s="99"/>
      <c r="G30" s="100"/>
      <c r="H30" s="101">
        <f>'biểu 3 (2)'!M31</f>
        <v>1892489936.598368</v>
      </c>
    </row>
    <row r="31" spans="1:9" ht="15">
      <c r="A31" s="233" t="s">
        <v>58</v>
      </c>
      <c r="B31" s="234"/>
      <c r="C31" s="18"/>
      <c r="D31" s="18"/>
      <c r="E31" s="18"/>
      <c r="F31" s="18"/>
      <c r="G31" s="19"/>
      <c r="H31" s="20">
        <f>SUM(H19+H20+H21+H22+H23+H24+H28)</f>
        <v>30156743301.833736</v>
      </c>
      <c r="I31" s="2">
        <f>H31-'biểu 3 (2)'!M32</f>
        <v>0</v>
      </c>
    </row>
    <row r="32" ht="15">
      <c r="A32" s="61" t="s">
        <v>143</v>
      </c>
    </row>
    <row r="33" ht="15">
      <c r="B33" s="61" t="s">
        <v>144</v>
      </c>
    </row>
    <row r="34" ht="15">
      <c r="B34" s="61" t="s">
        <v>145</v>
      </c>
    </row>
  </sheetData>
  <sheetProtection/>
  <mergeCells count="4">
    <mergeCell ref="A31:B31"/>
    <mergeCell ref="A1:H1"/>
    <mergeCell ref="G3:H3"/>
    <mergeCell ref="A2:H2"/>
  </mergeCells>
  <printOptions/>
  <pageMargins left="0.63" right="0.24" top="0.69488189" bottom="0.588582677" header="0.06496063" footer="0.0649606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2">
      <selection activeCell="D12" sqref="D12"/>
    </sheetView>
  </sheetViews>
  <sheetFormatPr defaultColWidth="9.140625" defaultRowHeight="15"/>
  <cols>
    <col min="1" max="1" width="3.28125" style="0" customWidth="1"/>
    <col min="2" max="2" width="17.8515625" style="0" customWidth="1"/>
    <col min="3" max="3" width="11.7109375" style="0" customWidth="1"/>
    <col min="4" max="4" width="10.57421875" style="0" customWidth="1"/>
    <col min="5" max="5" width="10.7109375" style="0" customWidth="1"/>
    <col min="6" max="6" width="11.00390625" style="0" customWidth="1"/>
    <col min="7" max="7" width="10.8515625" style="0" customWidth="1"/>
    <col min="8" max="8" width="9.8515625" style="0" customWidth="1"/>
    <col min="9" max="10" width="9.57421875" style="0" customWidth="1"/>
    <col min="11" max="11" width="9.8515625" style="0" customWidth="1"/>
    <col min="12" max="12" width="9.28125" style="0" customWidth="1"/>
    <col min="13" max="13" width="10.7109375" style="0" customWidth="1"/>
    <col min="14" max="14" width="0" style="0" hidden="1" customWidth="1"/>
    <col min="15" max="15" width="12.7109375" style="0" hidden="1" customWidth="1"/>
    <col min="16" max="16" width="10.00390625" style="0" hidden="1" customWidth="1"/>
    <col min="18" max="18" width="12.7109375" style="0" bestFit="1" customWidth="1"/>
  </cols>
  <sheetData>
    <row r="1" spans="1:13" ht="33" customHeight="1">
      <c r="A1" s="226" t="s">
        <v>149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7.25" customHeight="1">
      <c r="A2" s="238" t="str">
        <f>'biểu 2'!A2:H2</f>
        <v>(Kèm theo Quyết định số     1518  /QĐ-UBND ngày  27 tháng 4 năm 2015 của của UBND tỉnh Quảng Nam)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2:13" ht="14.25">
      <c r="L3" s="237" t="s">
        <v>114</v>
      </c>
      <c r="M3" s="237"/>
    </row>
    <row r="4" spans="1:13" s="58" customFormat="1" ht="14.25">
      <c r="A4" s="77" t="s">
        <v>0</v>
      </c>
      <c r="B4" s="77" t="s">
        <v>62</v>
      </c>
      <c r="C4" s="78">
        <v>2015</v>
      </c>
      <c r="D4" s="78">
        <v>2016</v>
      </c>
      <c r="E4" s="78">
        <v>2017</v>
      </c>
      <c r="F4" s="78">
        <v>2018</v>
      </c>
      <c r="G4" s="78">
        <v>2019</v>
      </c>
      <c r="H4" s="78">
        <v>2020</v>
      </c>
      <c r="I4" s="78">
        <v>2021</v>
      </c>
      <c r="J4" s="78">
        <v>2022</v>
      </c>
      <c r="K4" s="78">
        <v>2023</v>
      </c>
      <c r="L4" s="78">
        <v>2024</v>
      </c>
      <c r="M4" s="78" t="s">
        <v>61</v>
      </c>
    </row>
    <row r="5" spans="1:13" s="58" customFormat="1" ht="14.25">
      <c r="A5" s="77" t="s">
        <v>75</v>
      </c>
      <c r="B5" s="105" t="s">
        <v>60</v>
      </c>
      <c r="C5" s="106">
        <v>0</v>
      </c>
      <c r="D5" s="106">
        <v>1</v>
      </c>
      <c r="E5" s="106">
        <v>2</v>
      </c>
      <c r="F5" s="106">
        <v>3</v>
      </c>
      <c r="G5" s="106">
        <v>4</v>
      </c>
      <c r="H5" s="106">
        <v>5</v>
      </c>
      <c r="I5" s="106">
        <v>6</v>
      </c>
      <c r="J5" s="106">
        <v>7</v>
      </c>
      <c r="K5" s="106">
        <v>8</v>
      </c>
      <c r="L5" s="106">
        <v>9</v>
      </c>
      <c r="M5" s="107"/>
    </row>
    <row r="6" spans="1:13" ht="14.25">
      <c r="A6" s="108"/>
      <c r="B6" s="109" t="s">
        <v>93</v>
      </c>
      <c r="C6" s="110">
        <v>0.05</v>
      </c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13" ht="14.25">
      <c r="A7" s="108"/>
      <c r="B7" s="113" t="s">
        <v>92</v>
      </c>
      <c r="C7" s="110">
        <v>0.05</v>
      </c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 ht="14.25">
      <c r="A8" s="77"/>
      <c r="B8" s="77" t="s">
        <v>107</v>
      </c>
      <c r="C8" s="78">
        <f>(1+$C$8)^C5</f>
        <v>1</v>
      </c>
      <c r="D8" s="79">
        <f aca="true" t="shared" si="0" ref="D8:L8">(1+$C$7)^D5</f>
        <v>1.05</v>
      </c>
      <c r="E8" s="79">
        <f t="shared" si="0"/>
        <v>1.1025</v>
      </c>
      <c r="F8" s="79">
        <f t="shared" si="0"/>
        <v>1.1576250000000001</v>
      </c>
      <c r="G8" s="79">
        <f t="shared" si="0"/>
        <v>1.21550625</v>
      </c>
      <c r="H8" s="79">
        <f t="shared" si="0"/>
        <v>1.2762815625000001</v>
      </c>
      <c r="I8" s="79">
        <f t="shared" si="0"/>
        <v>1.340095640625</v>
      </c>
      <c r="J8" s="79">
        <f t="shared" si="0"/>
        <v>1.4071004226562502</v>
      </c>
      <c r="K8" s="79">
        <f t="shared" si="0"/>
        <v>1.4774554437890626</v>
      </c>
      <c r="L8" s="79">
        <f t="shared" si="0"/>
        <v>1.5513282159785158</v>
      </c>
      <c r="M8" s="78"/>
    </row>
    <row r="9" spans="1:13" s="58" customFormat="1" ht="14.25">
      <c r="A9" s="77" t="s">
        <v>9</v>
      </c>
      <c r="B9" s="107" t="s">
        <v>63</v>
      </c>
      <c r="C9" s="120">
        <f>C10+C11</f>
        <v>3177732999</v>
      </c>
      <c r="D9" s="120">
        <f>D10+D11</f>
        <v>293778618.00000006</v>
      </c>
      <c r="E9" s="120"/>
      <c r="F9" s="120"/>
      <c r="G9" s="120"/>
      <c r="H9" s="120"/>
      <c r="I9" s="120"/>
      <c r="J9" s="120"/>
      <c r="K9" s="120"/>
      <c r="L9" s="120"/>
      <c r="M9" s="120">
        <f>C9+D9</f>
        <v>3471511617</v>
      </c>
    </row>
    <row r="10" spans="1:13" ht="14.25">
      <c r="A10" s="160">
        <v>1</v>
      </c>
      <c r="B10" s="161" t="s">
        <v>18</v>
      </c>
      <c r="C10" s="157">
        <f>'biểu 1'!I20</f>
        <v>2678530799</v>
      </c>
      <c r="D10" s="157">
        <f>'biểu 1'!I36</f>
        <v>243858398.00000003</v>
      </c>
      <c r="E10" s="157"/>
      <c r="F10" s="157"/>
      <c r="G10" s="157"/>
      <c r="H10" s="157"/>
      <c r="I10" s="157"/>
      <c r="J10" s="157"/>
      <c r="K10" s="157"/>
      <c r="L10" s="157"/>
      <c r="M10" s="157">
        <f>C10+D10</f>
        <v>2922389197</v>
      </c>
    </row>
    <row r="11" spans="1:13" ht="14.25">
      <c r="A11" s="162">
        <v>2</v>
      </c>
      <c r="B11" s="118" t="s">
        <v>64</v>
      </c>
      <c r="C11" s="119">
        <f>'biểu 1'!I23</f>
        <v>499202200.00000006</v>
      </c>
      <c r="D11" s="119">
        <f>'biểu 1'!I39</f>
        <v>49920220.00000001</v>
      </c>
      <c r="E11" s="119"/>
      <c r="F11" s="119"/>
      <c r="G11" s="119"/>
      <c r="H11" s="119"/>
      <c r="I11" s="119"/>
      <c r="J11" s="119"/>
      <c r="K11" s="119"/>
      <c r="L11" s="119"/>
      <c r="M11" s="119">
        <f>C11+D11</f>
        <v>549122420.0000001</v>
      </c>
    </row>
    <row r="12" spans="1:13" s="58" customFormat="1" ht="14.25">
      <c r="A12" s="77" t="s">
        <v>30</v>
      </c>
      <c r="B12" s="107" t="s">
        <v>16</v>
      </c>
      <c r="C12" s="120">
        <f>C13</f>
        <v>7087725288.65804</v>
      </c>
      <c r="D12" s="120">
        <f>D14</f>
        <v>2777501970.8680215</v>
      </c>
      <c r="E12" s="120">
        <f>E15</f>
        <v>2404243088.0271883</v>
      </c>
      <c r="F12" s="120">
        <f>F16</f>
        <v>2363780862.939948</v>
      </c>
      <c r="G12" s="120">
        <f>G17</f>
        <v>1662370447.6069198</v>
      </c>
      <c r="H12" s="120">
        <f>H18</f>
        <v>281429932</v>
      </c>
      <c r="I12" s="120">
        <f>I19</f>
        <v>281429932</v>
      </c>
      <c r="J12" s="120">
        <f>J20</f>
        <v>281429932</v>
      </c>
      <c r="K12" s="120">
        <f>K21</f>
        <v>281429932</v>
      </c>
      <c r="L12" s="120">
        <f>L22</f>
        <v>281429932</v>
      </c>
      <c r="M12" s="120">
        <f aca="true" t="shared" si="1" ref="M12:M28">C12+D12+E12+F12+G12+H12+I12+J12+K12+L12</f>
        <v>17702771318.10012</v>
      </c>
    </row>
    <row r="13" spans="1:13" ht="14.25">
      <c r="A13" s="163">
        <v>1</v>
      </c>
      <c r="B13" s="161" t="s">
        <v>86</v>
      </c>
      <c r="C13" s="157">
        <f>'biểu 2'!H6</f>
        <v>7087725288.65804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>
        <f t="shared" si="1"/>
        <v>7087725288.65804</v>
      </c>
    </row>
    <row r="14" spans="1:13" ht="14.25">
      <c r="A14" s="116">
        <v>2</v>
      </c>
      <c r="B14" s="114" t="s">
        <v>65</v>
      </c>
      <c r="C14" s="115"/>
      <c r="D14" s="115">
        <f>'biểu 2'!H10</f>
        <v>2777501970.8680215</v>
      </c>
      <c r="E14" s="115"/>
      <c r="F14" s="115"/>
      <c r="G14" s="115"/>
      <c r="H14" s="115"/>
      <c r="I14" s="115"/>
      <c r="J14" s="115"/>
      <c r="K14" s="115"/>
      <c r="L14" s="115"/>
      <c r="M14" s="115">
        <f t="shared" si="1"/>
        <v>2777501970.8680215</v>
      </c>
    </row>
    <row r="15" spans="1:13" ht="14.25">
      <c r="A15" s="116">
        <v>3</v>
      </c>
      <c r="B15" s="114" t="s">
        <v>66</v>
      </c>
      <c r="C15" s="115"/>
      <c r="D15" s="115"/>
      <c r="E15" s="115">
        <f>'biểu 2'!H13</f>
        <v>2404243088.0271883</v>
      </c>
      <c r="F15" s="115"/>
      <c r="G15" s="115"/>
      <c r="H15" s="115"/>
      <c r="I15" s="115"/>
      <c r="J15" s="115"/>
      <c r="K15" s="115"/>
      <c r="L15" s="115"/>
      <c r="M15" s="115">
        <f t="shared" si="1"/>
        <v>2404243088.0271883</v>
      </c>
    </row>
    <row r="16" spans="1:13" ht="14.25">
      <c r="A16" s="116">
        <v>4</v>
      </c>
      <c r="B16" s="114" t="s">
        <v>67</v>
      </c>
      <c r="C16" s="115"/>
      <c r="D16" s="115"/>
      <c r="E16" s="115"/>
      <c r="F16" s="115">
        <f>'biểu 2'!H15</f>
        <v>2363780862.939948</v>
      </c>
      <c r="G16" s="115"/>
      <c r="H16" s="115"/>
      <c r="I16" s="115"/>
      <c r="J16" s="115"/>
      <c r="K16" s="115"/>
      <c r="L16" s="115"/>
      <c r="M16" s="115">
        <f t="shared" si="1"/>
        <v>2363780862.939948</v>
      </c>
    </row>
    <row r="17" spans="1:13" ht="14.25">
      <c r="A17" s="116">
        <v>5</v>
      </c>
      <c r="B17" s="114" t="s">
        <v>68</v>
      </c>
      <c r="C17" s="115"/>
      <c r="D17" s="115"/>
      <c r="E17" s="115"/>
      <c r="F17" s="115"/>
      <c r="G17" s="115">
        <f>'biểu 2'!H17</f>
        <v>1662370447.6069198</v>
      </c>
      <c r="H17" s="115"/>
      <c r="I17" s="115"/>
      <c r="J17" s="115"/>
      <c r="K17" s="115"/>
      <c r="L17" s="115"/>
      <c r="M17" s="115">
        <f t="shared" si="1"/>
        <v>1662370447.6069198</v>
      </c>
    </row>
    <row r="18" spans="1:13" ht="14.25">
      <c r="A18" s="116">
        <v>6</v>
      </c>
      <c r="B18" s="114" t="s">
        <v>69</v>
      </c>
      <c r="C18" s="115"/>
      <c r="D18" s="115"/>
      <c r="E18" s="115"/>
      <c r="F18" s="115"/>
      <c r="G18" s="115"/>
      <c r="H18" s="115">
        <f>1049720*268.1</f>
        <v>281429932</v>
      </c>
      <c r="I18" s="115"/>
      <c r="J18" s="115"/>
      <c r="K18" s="115"/>
      <c r="L18" s="115"/>
      <c r="M18" s="115">
        <f t="shared" si="1"/>
        <v>281429932</v>
      </c>
    </row>
    <row r="19" spans="1:13" ht="14.25">
      <c r="A19" s="116">
        <v>7</v>
      </c>
      <c r="B19" s="114" t="s">
        <v>70</v>
      </c>
      <c r="C19" s="115"/>
      <c r="D19" s="115"/>
      <c r="E19" s="115"/>
      <c r="F19" s="115"/>
      <c r="G19" s="115"/>
      <c r="H19" s="115"/>
      <c r="I19" s="115">
        <f>1049720*268.1</f>
        <v>281429932</v>
      </c>
      <c r="J19" s="115"/>
      <c r="K19" s="115"/>
      <c r="L19" s="115"/>
      <c r="M19" s="115">
        <f t="shared" si="1"/>
        <v>281429932</v>
      </c>
    </row>
    <row r="20" spans="1:13" ht="14.25">
      <c r="A20" s="116">
        <v>8</v>
      </c>
      <c r="B20" s="114" t="s">
        <v>71</v>
      </c>
      <c r="C20" s="115"/>
      <c r="D20" s="115"/>
      <c r="E20" s="115"/>
      <c r="F20" s="115"/>
      <c r="G20" s="115"/>
      <c r="H20" s="115"/>
      <c r="I20" s="115"/>
      <c r="J20" s="115">
        <f>1049720*268.1</f>
        <v>281429932</v>
      </c>
      <c r="K20" s="115"/>
      <c r="L20" s="115"/>
      <c r="M20" s="115">
        <f t="shared" si="1"/>
        <v>281429932</v>
      </c>
    </row>
    <row r="21" spans="1:13" ht="14.25">
      <c r="A21" s="116">
        <v>9</v>
      </c>
      <c r="B21" s="114" t="s">
        <v>72</v>
      </c>
      <c r="C21" s="115"/>
      <c r="D21" s="115"/>
      <c r="E21" s="115"/>
      <c r="F21" s="115"/>
      <c r="G21" s="115"/>
      <c r="H21" s="115"/>
      <c r="I21" s="115"/>
      <c r="J21" s="115"/>
      <c r="K21" s="115">
        <f>1049720*268.1</f>
        <v>281429932</v>
      </c>
      <c r="L21" s="115"/>
      <c r="M21" s="115">
        <f t="shared" si="1"/>
        <v>281429932</v>
      </c>
    </row>
    <row r="22" spans="1:13" ht="14.25">
      <c r="A22" s="117">
        <v>10</v>
      </c>
      <c r="B22" s="118" t="s">
        <v>73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>
        <f>1049720*268.1</f>
        <v>281429932</v>
      </c>
      <c r="M22" s="119">
        <f t="shared" si="1"/>
        <v>281429932</v>
      </c>
    </row>
    <row r="23" spans="1:13" s="58" customFormat="1" ht="14.25">
      <c r="A23" s="78" t="s">
        <v>42</v>
      </c>
      <c r="B23" s="107" t="s">
        <v>74</v>
      </c>
      <c r="C23" s="120">
        <f>C9+C13</f>
        <v>10265458287.65804</v>
      </c>
      <c r="D23" s="120">
        <f>D9+D14</f>
        <v>3071280588.8680215</v>
      </c>
      <c r="E23" s="120">
        <f>E15</f>
        <v>2404243088.0271883</v>
      </c>
      <c r="F23" s="120">
        <f>F16</f>
        <v>2363780862.939948</v>
      </c>
      <c r="G23" s="120">
        <f>G17</f>
        <v>1662370447.6069198</v>
      </c>
      <c r="H23" s="120">
        <f>H18</f>
        <v>281429932</v>
      </c>
      <c r="I23" s="120">
        <f>I19</f>
        <v>281429932</v>
      </c>
      <c r="J23" s="120">
        <f>J20</f>
        <v>281429932</v>
      </c>
      <c r="K23" s="120">
        <f>K21</f>
        <v>281429932</v>
      </c>
      <c r="L23" s="120">
        <f>L22</f>
        <v>281429932</v>
      </c>
      <c r="M23" s="120">
        <f t="shared" si="1"/>
        <v>21174282935.100117</v>
      </c>
    </row>
    <row r="24" spans="1:15" s="58" customFormat="1" ht="24">
      <c r="A24" s="121" t="s">
        <v>43</v>
      </c>
      <c r="B24" s="122" t="s">
        <v>82</v>
      </c>
      <c r="C24" s="123">
        <f aca="true" t="shared" si="2" ref="C24:L24">C23*5%</f>
        <v>513272914.38290197</v>
      </c>
      <c r="D24" s="123">
        <f t="shared" si="2"/>
        <v>153564029.44340107</v>
      </c>
      <c r="E24" s="123">
        <f t="shared" si="2"/>
        <v>120212154.40135942</v>
      </c>
      <c r="F24" s="123">
        <f t="shared" si="2"/>
        <v>118189043.1469974</v>
      </c>
      <c r="G24" s="123">
        <f t="shared" si="2"/>
        <v>83118522.380346</v>
      </c>
      <c r="H24" s="123">
        <f t="shared" si="2"/>
        <v>14071496.600000001</v>
      </c>
      <c r="I24" s="123">
        <f t="shared" si="2"/>
        <v>14071496.600000001</v>
      </c>
      <c r="J24" s="123">
        <f t="shared" si="2"/>
        <v>14071496.600000001</v>
      </c>
      <c r="K24" s="123">
        <f t="shared" si="2"/>
        <v>14071496.600000001</v>
      </c>
      <c r="L24" s="123">
        <f t="shared" si="2"/>
        <v>14071496.600000001</v>
      </c>
      <c r="M24" s="123">
        <f t="shared" si="1"/>
        <v>1058714146.755006</v>
      </c>
      <c r="O24" s="58">
        <f>M23*5%</f>
        <v>1058714146.7550058</v>
      </c>
    </row>
    <row r="25" spans="1:15" s="58" customFormat="1" ht="27.75" customHeight="1">
      <c r="A25" s="121" t="s">
        <v>76</v>
      </c>
      <c r="B25" s="122" t="s">
        <v>85</v>
      </c>
      <c r="C25" s="123">
        <f aca="true" t="shared" si="3" ref="C25:L25">5.5%*(C23+C24)</f>
        <v>592830216.1122518</v>
      </c>
      <c r="D25" s="123">
        <f t="shared" si="3"/>
        <v>177366454.00712824</v>
      </c>
      <c r="E25" s="123">
        <f t="shared" si="3"/>
        <v>138845038.33357012</v>
      </c>
      <c r="F25" s="123">
        <f t="shared" si="3"/>
        <v>136508344.834782</v>
      </c>
      <c r="G25" s="123">
        <f t="shared" si="3"/>
        <v>96001893.34929962</v>
      </c>
      <c r="H25" s="123">
        <f t="shared" si="3"/>
        <v>16252578.573</v>
      </c>
      <c r="I25" s="123">
        <f t="shared" si="3"/>
        <v>16252578.573</v>
      </c>
      <c r="J25" s="123">
        <f t="shared" si="3"/>
        <v>16252578.573</v>
      </c>
      <c r="K25" s="123">
        <f t="shared" si="3"/>
        <v>16252578.573</v>
      </c>
      <c r="L25" s="123">
        <f t="shared" si="3"/>
        <v>16252578.573</v>
      </c>
      <c r="M25" s="123">
        <f t="shared" si="1"/>
        <v>1222814839.5020316</v>
      </c>
      <c r="O25" s="58">
        <f>(M23+M24)*5.5%</f>
        <v>1222814839.5020318</v>
      </c>
    </row>
    <row r="26" spans="1:15" s="58" customFormat="1" ht="24">
      <c r="A26" s="121" t="s">
        <v>77</v>
      </c>
      <c r="B26" s="122" t="s">
        <v>83</v>
      </c>
      <c r="C26" s="123">
        <f aca="true" t="shared" si="4" ref="C26:L26">5%*(C23+C24+C25)</f>
        <v>568578070.9076596</v>
      </c>
      <c r="D26" s="123">
        <f t="shared" si="4"/>
        <v>170110553.61592755</v>
      </c>
      <c r="E26" s="123">
        <f t="shared" si="4"/>
        <v>133165014.0381059</v>
      </c>
      <c r="F26" s="123">
        <f t="shared" si="4"/>
        <v>130923912.54608639</v>
      </c>
      <c r="G26" s="123">
        <f t="shared" si="4"/>
        <v>92074543.16682827</v>
      </c>
      <c r="H26" s="123">
        <f t="shared" si="4"/>
        <v>15587700.358650003</v>
      </c>
      <c r="I26" s="123">
        <f t="shared" si="4"/>
        <v>15587700.358650003</v>
      </c>
      <c r="J26" s="123">
        <f t="shared" si="4"/>
        <v>15587700.358650003</v>
      </c>
      <c r="K26" s="123">
        <f t="shared" si="4"/>
        <v>15587700.358650003</v>
      </c>
      <c r="L26" s="123">
        <f t="shared" si="4"/>
        <v>15587700.358650003</v>
      </c>
      <c r="M26" s="123">
        <f t="shared" si="1"/>
        <v>1172790596.0678577</v>
      </c>
      <c r="O26" s="58">
        <f>(M23+M24+M25)*5%</f>
        <v>1172790596.0678577</v>
      </c>
    </row>
    <row r="27" spans="1:15" s="58" customFormat="1" ht="27.75" customHeight="1">
      <c r="A27" s="121" t="s">
        <v>78</v>
      </c>
      <c r="B27" s="122" t="s">
        <v>120</v>
      </c>
      <c r="C27" s="123">
        <f aca="true" t="shared" si="5" ref="C27:L27">2.125%*(C23+C24+C25+C26)</f>
        <v>253727964.14254314</v>
      </c>
      <c r="D27" s="123">
        <f t="shared" si="5"/>
        <v>75911834.55110767</v>
      </c>
      <c r="E27" s="123">
        <f t="shared" si="5"/>
        <v>59424887.51450476</v>
      </c>
      <c r="F27" s="123">
        <f t="shared" si="5"/>
        <v>58424795.97369105</v>
      </c>
      <c r="G27" s="123">
        <f t="shared" si="5"/>
        <v>41088264.88819712</v>
      </c>
      <c r="H27" s="123">
        <f t="shared" si="5"/>
        <v>6956011.285047565</v>
      </c>
      <c r="I27" s="123">
        <f t="shared" si="5"/>
        <v>6956011.285047565</v>
      </c>
      <c r="J27" s="123">
        <f t="shared" si="5"/>
        <v>6956011.285047565</v>
      </c>
      <c r="K27" s="123">
        <f t="shared" si="5"/>
        <v>6956011.285047565</v>
      </c>
      <c r="L27" s="123">
        <f t="shared" si="5"/>
        <v>6956011.285047565</v>
      </c>
      <c r="M27" s="123">
        <f t="shared" si="1"/>
        <v>523357803.49528176</v>
      </c>
      <c r="N27" s="57">
        <f>M27-'biểu 2'!H23</f>
        <v>0</v>
      </c>
      <c r="O27" s="58">
        <f>(M23+M24+M25+M26)*2.125%</f>
        <v>523357803.4952815</v>
      </c>
    </row>
    <row r="28" spans="1:15" s="58" customFormat="1" ht="28.5" customHeight="1">
      <c r="A28" s="121" t="s">
        <v>79</v>
      </c>
      <c r="B28" s="122" t="s">
        <v>84</v>
      </c>
      <c r="C28" s="123">
        <f aca="true" t="shared" si="6" ref="C28:L28">7.875%*(C23+C24+C25+C26)</f>
        <v>940285984.763542</v>
      </c>
      <c r="D28" s="123">
        <f t="shared" si="6"/>
        <v>281320328.04234016</v>
      </c>
      <c r="E28" s="123">
        <f t="shared" si="6"/>
        <v>220221641.96551764</v>
      </c>
      <c r="F28" s="123">
        <f t="shared" si="6"/>
        <v>216515420.37309036</v>
      </c>
      <c r="G28" s="123">
        <f t="shared" si="6"/>
        <v>152268275.76214224</v>
      </c>
      <c r="H28" s="123">
        <f t="shared" si="6"/>
        <v>25778159.468117442</v>
      </c>
      <c r="I28" s="123">
        <f t="shared" si="6"/>
        <v>25778159.468117442</v>
      </c>
      <c r="J28" s="123">
        <f t="shared" si="6"/>
        <v>25778159.468117442</v>
      </c>
      <c r="K28" s="123">
        <f t="shared" si="6"/>
        <v>25778159.468117442</v>
      </c>
      <c r="L28" s="123">
        <f t="shared" si="6"/>
        <v>25778159.468117442</v>
      </c>
      <c r="M28" s="123">
        <f t="shared" si="1"/>
        <v>1939502448.2472198</v>
      </c>
      <c r="N28" s="57">
        <f>M28-'biểu 2'!H24</f>
        <v>0</v>
      </c>
      <c r="O28" s="58">
        <f>(M23+M24+M25+M26)*7.875%</f>
        <v>1939502448.2472196</v>
      </c>
    </row>
    <row r="29" spans="1:18" s="58" customFormat="1" ht="18.75" customHeight="1">
      <c r="A29" s="121" t="s">
        <v>80</v>
      </c>
      <c r="B29" s="124" t="s">
        <v>88</v>
      </c>
      <c r="C29" s="123">
        <f aca="true" t="shared" si="7" ref="C29:L29">C30+C31</f>
        <v>568578070.9076596</v>
      </c>
      <c r="D29" s="123">
        <f t="shared" si="7"/>
        <v>340221107.2318552</v>
      </c>
      <c r="E29" s="123">
        <f t="shared" si="7"/>
        <v>406153292.8162231</v>
      </c>
      <c r="F29" s="123">
        <f t="shared" si="7"/>
        <v>543661546.8476241</v>
      </c>
      <c r="G29" s="123">
        <f t="shared" si="7"/>
        <v>488927333.533754</v>
      </c>
      <c r="H29" s="123">
        <f t="shared" si="7"/>
        <v>101719584.5760427</v>
      </c>
      <c r="I29" s="123">
        <f t="shared" si="7"/>
        <v>121613879.14556228</v>
      </c>
      <c r="J29" s="123">
        <f t="shared" si="7"/>
        <v>142502888.44355798</v>
      </c>
      <c r="K29" s="123">
        <f t="shared" si="7"/>
        <v>164436348.20645332</v>
      </c>
      <c r="L29" s="123">
        <f t="shared" si="7"/>
        <v>187466480.9574935</v>
      </c>
      <c r="M29" s="123">
        <f>SUM(C29:L29)</f>
        <v>3065280532.666226</v>
      </c>
      <c r="O29" s="58">
        <f>M29/M23*100</f>
        <v>14.476431348638407</v>
      </c>
      <c r="R29" s="57"/>
    </row>
    <row r="30" spans="1:15" ht="18" customHeight="1">
      <c r="A30" s="125"/>
      <c r="B30" s="126" t="s">
        <v>89</v>
      </c>
      <c r="C30" s="127">
        <f aca="true" t="shared" si="8" ref="C30:L30">(C23+C24+C25)*$C$6</f>
        <v>568578070.9076596</v>
      </c>
      <c r="D30" s="127">
        <f t="shared" si="8"/>
        <v>170110553.61592755</v>
      </c>
      <c r="E30" s="127">
        <f t="shared" si="8"/>
        <v>133165014.0381059</v>
      </c>
      <c r="F30" s="127">
        <f t="shared" si="8"/>
        <v>130923912.54608639</v>
      </c>
      <c r="G30" s="127">
        <f t="shared" si="8"/>
        <v>92074543.16682827</v>
      </c>
      <c r="H30" s="127">
        <f t="shared" si="8"/>
        <v>15587700.358650003</v>
      </c>
      <c r="I30" s="127">
        <f t="shared" si="8"/>
        <v>15587700.358650003</v>
      </c>
      <c r="J30" s="127">
        <f t="shared" si="8"/>
        <v>15587700.358650003</v>
      </c>
      <c r="K30" s="127">
        <f t="shared" si="8"/>
        <v>15587700.358650003</v>
      </c>
      <c r="L30" s="127">
        <f t="shared" si="8"/>
        <v>15587700.358650003</v>
      </c>
      <c r="M30" s="127">
        <f>SUM(C30:L30)</f>
        <v>1172790596.0678577</v>
      </c>
      <c r="O30" s="2">
        <f>D23+D24+D25+D26</f>
        <v>3572321625.9344783</v>
      </c>
    </row>
    <row r="31" spans="1:15" ht="18.75" customHeight="1">
      <c r="A31" s="125"/>
      <c r="B31" s="126" t="s">
        <v>90</v>
      </c>
      <c r="C31" s="127">
        <v>0</v>
      </c>
      <c r="D31" s="127">
        <f>(D23+D24+D25)*(D8-1)</f>
        <v>170110553.61592767</v>
      </c>
      <c r="E31" s="127">
        <f aca="true" t="shared" si="9" ref="E31:L31">(E23+E24+E25)*(E8-1)</f>
        <v>272988278.7781172</v>
      </c>
      <c r="F31" s="127">
        <f t="shared" si="9"/>
        <v>412737634.30153763</v>
      </c>
      <c r="G31" s="127">
        <f t="shared" si="9"/>
        <v>396852790.3669257</v>
      </c>
      <c r="H31" s="127">
        <f t="shared" si="9"/>
        <v>86131884.2173927</v>
      </c>
      <c r="I31" s="127">
        <f t="shared" si="9"/>
        <v>106026178.78691228</v>
      </c>
      <c r="J31" s="127">
        <f t="shared" si="9"/>
        <v>126915188.08490798</v>
      </c>
      <c r="K31" s="127">
        <f t="shared" si="9"/>
        <v>148848647.84780332</v>
      </c>
      <c r="L31" s="127">
        <f t="shared" si="9"/>
        <v>171878780.59884351</v>
      </c>
      <c r="M31" s="127">
        <f>SUM(C31:L31)</f>
        <v>1892489936.598368</v>
      </c>
      <c r="O31" s="80">
        <f>D8-1</f>
        <v>0.050000000000000044</v>
      </c>
    </row>
    <row r="32" spans="1:18" s="58" customFormat="1" ht="19.5" customHeight="1">
      <c r="A32" s="121"/>
      <c r="B32" s="124" t="s">
        <v>58</v>
      </c>
      <c r="C32" s="123">
        <f aca="true" t="shared" si="10" ref="C32:L32">C23+C24+C25+C26+C27+C28+C29</f>
        <v>13702731508.874598</v>
      </c>
      <c r="D32" s="123">
        <f t="shared" si="10"/>
        <v>4269774895.759782</v>
      </c>
      <c r="E32" s="123">
        <f t="shared" si="10"/>
        <v>3482265117.0964694</v>
      </c>
      <c r="F32" s="123">
        <f t="shared" si="10"/>
        <v>3568003926.662219</v>
      </c>
      <c r="G32" s="123">
        <f t="shared" si="10"/>
        <v>2615849280.687487</v>
      </c>
      <c r="H32" s="123">
        <f t="shared" si="10"/>
        <v>461795462.8608578</v>
      </c>
      <c r="I32" s="123">
        <f t="shared" si="10"/>
        <v>481689757.43037736</v>
      </c>
      <c r="J32" s="123">
        <f t="shared" si="10"/>
        <v>502578766.72837305</v>
      </c>
      <c r="K32" s="123">
        <f t="shared" si="10"/>
        <v>524512226.4912684</v>
      </c>
      <c r="L32" s="123">
        <f t="shared" si="10"/>
        <v>547542359.2423086</v>
      </c>
      <c r="M32" s="123">
        <f>SUM(C32:L32)</f>
        <v>30156743301.833748</v>
      </c>
      <c r="O32" s="58">
        <f>O30*O31</f>
        <v>178616081.29672408</v>
      </c>
      <c r="P32" s="58">
        <f>O30*5%</f>
        <v>178616081.29672393</v>
      </c>
      <c r="R32" s="57"/>
    </row>
    <row r="33" spans="1:13" ht="14.25">
      <c r="A33" s="22"/>
      <c r="B33" s="22"/>
      <c r="C33" s="22"/>
      <c r="D33" s="83">
        <f>D31/D30</f>
        <v>1.0000000000000007</v>
      </c>
      <c r="E33" s="83">
        <f aca="true" t="shared" si="11" ref="E33:L33">E31/E30</f>
        <v>2.0500000000000007</v>
      </c>
      <c r="F33" s="83">
        <f t="shared" si="11"/>
        <v>3.1525000000000025</v>
      </c>
      <c r="G33" s="83">
        <f t="shared" si="11"/>
        <v>4.310125</v>
      </c>
      <c r="H33" s="83">
        <f t="shared" si="11"/>
        <v>5.525631250000003</v>
      </c>
      <c r="I33" s="83">
        <f t="shared" si="11"/>
        <v>6.801912812499999</v>
      </c>
      <c r="J33" s="83">
        <f t="shared" si="11"/>
        <v>8.142008453125005</v>
      </c>
      <c r="K33" s="83">
        <f t="shared" si="11"/>
        <v>9.54910887578125</v>
      </c>
      <c r="L33" s="83">
        <f t="shared" si="11"/>
        <v>11.026564319570314</v>
      </c>
      <c r="M33" s="83"/>
    </row>
    <row r="34" spans="1:13" ht="14.25">
      <c r="A34" s="23"/>
      <c r="B34" s="23"/>
      <c r="C34" s="23"/>
      <c r="D34" s="84">
        <f>(D23+D24+D25)*(D8-1)</f>
        <v>170110553.61592767</v>
      </c>
      <c r="E34" s="84">
        <f aca="true" t="shared" si="12" ref="E34:L34">(E23+E24+E25)*(E8-1)</f>
        <v>272988278.7781172</v>
      </c>
      <c r="F34" s="84">
        <f t="shared" si="12"/>
        <v>412737634.30153763</v>
      </c>
      <c r="G34" s="84">
        <f t="shared" si="12"/>
        <v>396852790.3669257</v>
      </c>
      <c r="H34" s="84">
        <f t="shared" si="12"/>
        <v>86131884.2173927</v>
      </c>
      <c r="I34" s="84">
        <f t="shared" si="12"/>
        <v>106026178.78691228</v>
      </c>
      <c r="J34" s="84">
        <f t="shared" si="12"/>
        <v>126915188.08490798</v>
      </c>
      <c r="K34" s="84">
        <f t="shared" si="12"/>
        <v>148848647.84780332</v>
      </c>
      <c r="L34" s="84">
        <f t="shared" si="12"/>
        <v>171878780.59884351</v>
      </c>
      <c r="M34" s="104"/>
    </row>
    <row r="35" spans="1:13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</sheetData>
  <sheetProtection/>
  <mergeCells count="3">
    <mergeCell ref="L3:M3"/>
    <mergeCell ref="A1:M1"/>
    <mergeCell ref="A2:M2"/>
  </mergeCells>
  <printOptions/>
  <pageMargins left="0.24" right="0.16" top="0.37" bottom="0.1968503937007874" header="0.2" footer="0.2"/>
  <pageSetup horizontalDpi="600" verticalDpi="600" orientation="landscape" r:id="rId1"/>
  <headerFooter alignWithMargins="0">
    <oddHeader>&amp;CPage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0" customWidth="1"/>
    <col min="2" max="2" width="40.28125" style="0" customWidth="1"/>
    <col min="3" max="4" width="17.0039062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1.140625" style="0" bestFit="1" customWidth="1"/>
    <col min="10" max="10" width="10.00390625" style="0" bestFit="1" customWidth="1"/>
  </cols>
  <sheetData>
    <row r="1" spans="1:7" ht="35.25" customHeight="1">
      <c r="A1" s="243" t="s">
        <v>150</v>
      </c>
      <c r="B1" s="244"/>
      <c r="C1" s="244"/>
      <c r="D1" s="244"/>
      <c r="E1" s="244"/>
      <c r="F1" s="244"/>
      <c r="G1" s="244"/>
    </row>
    <row r="2" spans="1:7" ht="18" customHeight="1">
      <c r="A2" s="245" t="str">
        <f>'biểu 3 (2)'!A2:M2</f>
        <v>(Kèm theo Quyết định số     1518  /QĐ-UBND ngày  27 tháng 4 năm 2015 của của UBND tỉnh Quảng Nam)</v>
      </c>
      <c r="B2" s="245"/>
      <c r="C2" s="245"/>
      <c r="D2" s="245"/>
      <c r="E2" s="245"/>
      <c r="F2" s="245"/>
      <c r="G2" s="245"/>
    </row>
    <row r="3" spans="1:7" ht="18" customHeight="1">
      <c r="A3" s="187"/>
      <c r="B3" s="187"/>
      <c r="C3" s="187"/>
      <c r="D3" s="187"/>
      <c r="E3" s="187"/>
      <c r="F3" s="246" t="s">
        <v>114</v>
      </c>
      <c r="G3" s="246"/>
    </row>
    <row r="4" spans="1:7" ht="14.25">
      <c r="A4" s="248" t="s">
        <v>0</v>
      </c>
      <c r="B4" s="249" t="s">
        <v>50</v>
      </c>
      <c r="C4" s="242" t="s">
        <v>121</v>
      </c>
      <c r="D4" s="247"/>
      <c r="E4" s="241" t="s">
        <v>122</v>
      </c>
      <c r="F4" s="247"/>
      <c r="G4" s="239" t="s">
        <v>139</v>
      </c>
    </row>
    <row r="5" spans="1:7" ht="22.5">
      <c r="A5" s="248"/>
      <c r="B5" s="250"/>
      <c r="C5" s="129" t="s">
        <v>135</v>
      </c>
      <c r="D5" s="130" t="s">
        <v>136</v>
      </c>
      <c r="E5" s="130" t="s">
        <v>137</v>
      </c>
      <c r="F5" s="130" t="s">
        <v>138</v>
      </c>
      <c r="G5" s="240"/>
    </row>
    <row r="6" spans="1:7" ht="14.25">
      <c r="A6" s="131">
        <v>1</v>
      </c>
      <c r="B6" s="132" t="s">
        <v>52</v>
      </c>
      <c r="C6" s="133">
        <v>10265458287.65804</v>
      </c>
      <c r="D6" s="134">
        <v>3371863423.7271643</v>
      </c>
      <c r="E6" s="134">
        <v>1962345159.4273572</v>
      </c>
      <c r="F6" s="134">
        <v>719781516.7746762</v>
      </c>
      <c r="G6" s="8">
        <f>C6+D6+E6+F6</f>
        <v>16319448387.587236</v>
      </c>
    </row>
    <row r="7" spans="1:7" ht="14.25">
      <c r="A7" s="135" t="s">
        <v>53</v>
      </c>
      <c r="B7" s="136" t="s">
        <v>16</v>
      </c>
      <c r="C7" s="166">
        <v>7087725288.65804</v>
      </c>
      <c r="D7" s="167">
        <v>2584231775.7271643</v>
      </c>
      <c r="E7" s="167">
        <v>1354889671.9273574</v>
      </c>
      <c r="F7" s="167">
        <v>559668572.7746762</v>
      </c>
      <c r="G7" s="168">
        <f aca="true" t="shared" si="0" ref="G7:G32">C7+D7+E7+F7</f>
        <v>11586515309.087236</v>
      </c>
    </row>
    <row r="8" spans="1:7" ht="14.25">
      <c r="A8" s="138" t="s">
        <v>53</v>
      </c>
      <c r="B8" s="139" t="s">
        <v>17</v>
      </c>
      <c r="C8" s="169">
        <v>3177732999.0000005</v>
      </c>
      <c r="D8" s="170">
        <v>787631648</v>
      </c>
      <c r="E8" s="170">
        <v>607455487.5</v>
      </c>
      <c r="F8" s="170">
        <v>160112944</v>
      </c>
      <c r="G8" s="171">
        <f t="shared" si="0"/>
        <v>4732933078.5</v>
      </c>
    </row>
    <row r="9" spans="1:7" ht="14.25">
      <c r="A9" s="141">
        <v>2</v>
      </c>
      <c r="B9" s="142" t="s">
        <v>32</v>
      </c>
      <c r="C9" s="143">
        <v>9501674987.442078</v>
      </c>
      <c r="D9" s="144">
        <v>3430512327.549664</v>
      </c>
      <c r="E9" s="144">
        <v>1816013869.8625753</v>
      </c>
      <c r="F9" s="144">
        <v>741974775.6168922</v>
      </c>
      <c r="G9" s="8">
        <f t="shared" si="0"/>
        <v>15490175960.471209</v>
      </c>
    </row>
    <row r="10" spans="1:7" ht="14.25">
      <c r="A10" s="145" t="s">
        <v>54</v>
      </c>
      <c r="B10" s="146" t="s">
        <v>97</v>
      </c>
      <c r="C10" s="147">
        <v>3071280588.8680215</v>
      </c>
      <c r="D10" s="148">
        <v>1085947765.793158</v>
      </c>
      <c r="E10" s="148">
        <v>586779580.6909215</v>
      </c>
      <c r="F10" s="148">
        <v>234211070.2166207</v>
      </c>
      <c r="G10" s="8">
        <f t="shared" si="0"/>
        <v>4978219005.568722</v>
      </c>
    </row>
    <row r="11" spans="1:7" ht="14.25">
      <c r="A11" s="135" t="s">
        <v>53</v>
      </c>
      <c r="B11" s="136" t="s">
        <v>16</v>
      </c>
      <c r="C11" s="166">
        <v>2777501970.8680215</v>
      </c>
      <c r="D11" s="167">
        <v>1012695689.7931579</v>
      </c>
      <c r="E11" s="167">
        <v>530947318.1909216</v>
      </c>
      <c r="F11" s="167">
        <v>219320092.2166207</v>
      </c>
      <c r="G11" s="168">
        <f t="shared" si="0"/>
        <v>4540465071.068722</v>
      </c>
    </row>
    <row r="12" spans="1:7" ht="14.25">
      <c r="A12" s="138" t="s">
        <v>53</v>
      </c>
      <c r="B12" s="139" t="s">
        <v>17</v>
      </c>
      <c r="C12" s="169">
        <v>293778618</v>
      </c>
      <c r="D12" s="170">
        <v>73252076</v>
      </c>
      <c r="E12" s="170">
        <v>55832262.5</v>
      </c>
      <c r="F12" s="170">
        <v>14890978.000000002</v>
      </c>
      <c r="G12" s="171">
        <f t="shared" si="0"/>
        <v>437753934.5</v>
      </c>
    </row>
    <row r="13" spans="1:7" ht="14.25">
      <c r="A13" s="141" t="s">
        <v>55</v>
      </c>
      <c r="B13" s="142" t="s">
        <v>98</v>
      </c>
      <c r="C13" s="143">
        <v>2404243088.0271883</v>
      </c>
      <c r="D13" s="144">
        <v>876603018.8267395</v>
      </c>
      <c r="E13" s="144">
        <v>459595144.57811785</v>
      </c>
      <c r="F13" s="144">
        <v>189846423.6237806</v>
      </c>
      <c r="G13" s="8">
        <f t="shared" si="0"/>
        <v>3930287675.055826</v>
      </c>
    </row>
    <row r="14" spans="1:7" ht="14.25">
      <c r="A14" s="149" t="s">
        <v>53</v>
      </c>
      <c r="B14" s="150" t="s">
        <v>16</v>
      </c>
      <c r="C14" s="172">
        <v>2404243088.0271883</v>
      </c>
      <c r="D14" s="173">
        <v>876603018.8267395</v>
      </c>
      <c r="E14" s="173">
        <v>459595144.57811785</v>
      </c>
      <c r="F14" s="173">
        <v>189846423.6237806</v>
      </c>
      <c r="G14" s="174">
        <f t="shared" si="0"/>
        <v>3930287675.055826</v>
      </c>
    </row>
    <row r="15" spans="1:7" ht="14.25">
      <c r="A15" s="128" t="s">
        <v>56</v>
      </c>
      <c r="B15" s="153" t="s">
        <v>99</v>
      </c>
      <c r="C15" s="151">
        <v>2363780862.939948</v>
      </c>
      <c r="D15" s="152">
        <v>861850222.4740936</v>
      </c>
      <c r="E15" s="152">
        <v>451860385.0267524</v>
      </c>
      <c r="F15" s="152">
        <v>186651401.97105074</v>
      </c>
      <c r="G15" s="8">
        <f t="shared" si="0"/>
        <v>3864142872.4118447</v>
      </c>
    </row>
    <row r="16" spans="1:7" ht="14.25">
      <c r="A16" s="149" t="s">
        <v>53</v>
      </c>
      <c r="B16" s="150" t="s">
        <v>16</v>
      </c>
      <c r="C16" s="172">
        <v>2363780862.939948</v>
      </c>
      <c r="D16" s="173">
        <v>861850222.4740936</v>
      </c>
      <c r="E16" s="173">
        <v>451860385.0267524</v>
      </c>
      <c r="F16" s="173">
        <v>186651401.97105074</v>
      </c>
      <c r="G16" s="174">
        <f t="shared" si="0"/>
        <v>3864142872.4118447</v>
      </c>
    </row>
    <row r="17" spans="1:7" ht="14.25">
      <c r="A17" s="128" t="s">
        <v>57</v>
      </c>
      <c r="B17" s="153" t="s">
        <v>100</v>
      </c>
      <c r="C17" s="151">
        <v>1662370447.6069198</v>
      </c>
      <c r="D17" s="152">
        <v>606111320.455673</v>
      </c>
      <c r="E17" s="152">
        <v>317778759.5667834</v>
      </c>
      <c r="F17" s="152">
        <v>131265879.8054401</v>
      </c>
      <c r="G17" s="8">
        <f t="shared" si="0"/>
        <v>2717526407.434816</v>
      </c>
    </row>
    <row r="18" spans="1:7" ht="14.25">
      <c r="A18" s="149" t="s">
        <v>53</v>
      </c>
      <c r="B18" s="150" t="s">
        <v>16</v>
      </c>
      <c r="C18" s="172">
        <v>1662370447.6069198</v>
      </c>
      <c r="D18" s="173">
        <v>606111320.455673</v>
      </c>
      <c r="E18" s="173">
        <v>317778759.5667834</v>
      </c>
      <c r="F18" s="173">
        <v>131265879.8054401</v>
      </c>
      <c r="G18" s="174">
        <f t="shared" si="0"/>
        <v>2717526407.434816</v>
      </c>
    </row>
    <row r="19" spans="1:7" ht="14.25">
      <c r="A19" s="128" t="s">
        <v>9</v>
      </c>
      <c r="B19" s="153" t="s">
        <v>87</v>
      </c>
      <c r="C19" s="151">
        <v>1407149660.0000002</v>
      </c>
      <c r="D19" s="152">
        <v>513056124</v>
      </c>
      <c r="E19" s="152">
        <v>268990750</v>
      </c>
      <c r="F19" s="152">
        <v>111112862.00000001</v>
      </c>
      <c r="G19" s="8">
        <f t="shared" si="0"/>
        <v>2300309396</v>
      </c>
    </row>
    <row r="20" spans="1:7" ht="14.25">
      <c r="A20" s="128" t="s">
        <v>30</v>
      </c>
      <c r="B20" s="153" t="s">
        <v>59</v>
      </c>
      <c r="C20" s="151">
        <v>21174282935.100117</v>
      </c>
      <c r="D20" s="152">
        <v>7315431875.276828</v>
      </c>
      <c r="E20" s="152">
        <v>4047349779.2899327</v>
      </c>
      <c r="F20" s="152">
        <v>1572869154.3915684</v>
      </c>
      <c r="G20" s="8">
        <f t="shared" si="0"/>
        <v>34109933744.058445</v>
      </c>
    </row>
    <row r="21" spans="1:7" ht="14.25">
      <c r="A21" s="78" t="s">
        <v>42</v>
      </c>
      <c r="B21" s="154" t="s">
        <v>115</v>
      </c>
      <c r="C21" s="155">
        <v>1058714146.7550058</v>
      </c>
      <c r="D21" s="152">
        <v>365771593.7638414</v>
      </c>
      <c r="E21" s="152">
        <v>202367488.96449664</v>
      </c>
      <c r="F21" s="152">
        <v>78643457.71957843</v>
      </c>
      <c r="G21" s="8">
        <f t="shared" si="0"/>
        <v>1705496687.2029223</v>
      </c>
    </row>
    <row r="22" spans="1:7" ht="14.25">
      <c r="A22" s="78" t="s">
        <v>43</v>
      </c>
      <c r="B22" s="154" t="s">
        <v>116</v>
      </c>
      <c r="C22" s="155">
        <v>1222814839.5020318</v>
      </c>
      <c r="D22" s="152">
        <v>422466190.7972368</v>
      </c>
      <c r="E22" s="152">
        <v>233734449.7539936</v>
      </c>
      <c r="F22" s="152">
        <v>90833193.66611308</v>
      </c>
      <c r="G22" s="8">
        <f t="shared" si="0"/>
        <v>1969848673.7193754</v>
      </c>
    </row>
    <row r="23" spans="1:7" ht="14.25">
      <c r="A23" s="156" t="s">
        <v>76</v>
      </c>
      <c r="B23" s="154" t="s">
        <v>117</v>
      </c>
      <c r="C23" s="120">
        <v>1172790596.0678577</v>
      </c>
      <c r="D23" s="152">
        <v>405183482.9918953</v>
      </c>
      <c r="E23" s="152">
        <v>224172585.90042114</v>
      </c>
      <c r="F23" s="152">
        <v>87117290.288863</v>
      </c>
      <c r="G23" s="8">
        <f t="shared" si="0"/>
        <v>1889263955.249037</v>
      </c>
    </row>
    <row r="24" spans="1:7" ht="14.25">
      <c r="A24" s="156" t="s">
        <v>77</v>
      </c>
      <c r="B24" s="154" t="s">
        <v>118</v>
      </c>
      <c r="C24" s="120">
        <v>523357803.4952815</v>
      </c>
      <c r="D24" s="152">
        <v>180813129.2851333</v>
      </c>
      <c r="E24" s="152">
        <v>100037016.45806295</v>
      </c>
      <c r="F24" s="152">
        <v>38876090.79140512</v>
      </c>
      <c r="G24" s="8">
        <f t="shared" si="0"/>
        <v>843084040.0298828</v>
      </c>
    </row>
    <row r="25" spans="1:7" ht="14.25">
      <c r="A25" s="156" t="s">
        <v>78</v>
      </c>
      <c r="B25" s="197" t="s">
        <v>119</v>
      </c>
      <c r="C25" s="120">
        <v>1939502448.2472196</v>
      </c>
      <c r="D25" s="152">
        <v>670072184.9978468</v>
      </c>
      <c r="E25" s="152">
        <v>370725413.93282145</v>
      </c>
      <c r="F25" s="152">
        <v>144070218.81520718</v>
      </c>
      <c r="G25" s="8">
        <f t="shared" si="0"/>
        <v>3124370265.993095</v>
      </c>
    </row>
    <row r="26" spans="1:7" ht="15">
      <c r="A26" s="175" t="s">
        <v>53</v>
      </c>
      <c r="B26" s="200" t="s">
        <v>140</v>
      </c>
      <c r="C26" s="176">
        <f>'biểu 2'!H25</f>
        <v>89567216.8154735</v>
      </c>
      <c r="D26" s="167">
        <f>'[2]biểu 2'!$H$25</f>
        <v>30944276.832420982</v>
      </c>
      <c r="E26" s="167">
        <f>'[3]biểu 2'!$H$25</f>
        <v>17120289.566396415</v>
      </c>
      <c r="F26" s="167">
        <f>'[1]biểu 2'!$H$25</f>
        <v>6653236.523076335</v>
      </c>
      <c r="G26" s="168">
        <f t="shared" si="0"/>
        <v>144285019.7373672</v>
      </c>
    </row>
    <row r="27" spans="1:8" ht="15">
      <c r="A27" s="180" t="s">
        <v>53</v>
      </c>
      <c r="B27" s="199" t="s">
        <v>141</v>
      </c>
      <c r="C27" s="177">
        <f>'biểu 2'!H26</f>
        <v>13339798.249113074</v>
      </c>
      <c r="D27" s="178">
        <f>'[2]biểu 2'!$H$26</f>
        <v>4608722.081424402</v>
      </c>
      <c r="E27" s="178">
        <f>'[3]biểu 2'!$H$26</f>
        <v>2549830.3609526576</v>
      </c>
      <c r="F27" s="178">
        <f>'[1]biểu 2'!$H$26</f>
        <v>990907.5672666881</v>
      </c>
      <c r="G27" s="179">
        <f t="shared" si="0"/>
        <v>21489258.25875682</v>
      </c>
      <c r="H27" s="2"/>
    </row>
    <row r="28" spans="1:8" ht="32.25" customHeight="1">
      <c r="A28" s="180" t="s">
        <v>53</v>
      </c>
      <c r="B28" s="212" t="s">
        <v>146</v>
      </c>
      <c r="C28" s="213">
        <f>C25-C26-C27</f>
        <v>1836595433.182633</v>
      </c>
      <c r="D28" s="178">
        <f>D25-D26-D27</f>
        <v>634519186.0840015</v>
      </c>
      <c r="E28" s="178">
        <f>E25-E26-E27</f>
        <v>351055294.00547236</v>
      </c>
      <c r="F28" s="178">
        <f>F25-F26-F27</f>
        <v>136426074.72486416</v>
      </c>
      <c r="G28" s="214">
        <f t="shared" si="0"/>
        <v>2958595987.9969707</v>
      </c>
      <c r="H28" s="2"/>
    </row>
    <row r="29" spans="1:7" ht="14.25">
      <c r="A29" s="156" t="s">
        <v>79</v>
      </c>
      <c r="B29" s="198" t="s">
        <v>108</v>
      </c>
      <c r="C29" s="120">
        <v>3065280532.6662254</v>
      </c>
      <c r="D29" s="152">
        <v>1093322392.2406304</v>
      </c>
      <c r="E29" s="152">
        <v>585922908.4744294</v>
      </c>
      <c r="F29" s="152">
        <v>236094025.71944273</v>
      </c>
      <c r="G29" s="8">
        <f t="shared" si="0"/>
        <v>4980619859.100727</v>
      </c>
    </row>
    <row r="30" spans="1:7" ht="14.25">
      <c r="A30" s="175" t="s">
        <v>53</v>
      </c>
      <c r="B30" s="184" t="s">
        <v>89</v>
      </c>
      <c r="C30" s="176">
        <v>1172790596.0678577</v>
      </c>
      <c r="D30" s="167">
        <v>405183482.9918953</v>
      </c>
      <c r="E30" s="167">
        <v>224172585.90042123</v>
      </c>
      <c r="F30" s="167">
        <v>87117290.28886302</v>
      </c>
      <c r="G30" s="168">
        <f t="shared" si="0"/>
        <v>1889263955.249037</v>
      </c>
    </row>
    <row r="31" spans="1:7" ht="14.25">
      <c r="A31" s="181" t="s">
        <v>53</v>
      </c>
      <c r="B31" s="186" t="s">
        <v>90</v>
      </c>
      <c r="C31" s="182">
        <v>1892489936.598368</v>
      </c>
      <c r="D31" s="170">
        <v>688138909.2487351</v>
      </c>
      <c r="E31" s="170">
        <v>361750322.5740081</v>
      </c>
      <c r="F31" s="170">
        <v>148976735.4305797</v>
      </c>
      <c r="G31" s="171">
        <f t="shared" si="0"/>
        <v>3091355903.851691</v>
      </c>
    </row>
    <row r="32" spans="1:7" ht="14.25">
      <c r="A32" s="241" t="s">
        <v>58</v>
      </c>
      <c r="B32" s="242"/>
      <c r="C32" s="120">
        <v>30156743301.833736</v>
      </c>
      <c r="D32" s="152">
        <v>10453060849.353413</v>
      </c>
      <c r="E32" s="152">
        <v>5764309642.774158</v>
      </c>
      <c r="F32" s="152">
        <v>2248503431.392178</v>
      </c>
      <c r="G32" s="8">
        <f t="shared" si="0"/>
        <v>48622617225.353485</v>
      </c>
    </row>
    <row r="33" spans="1:7" ht="14.25">
      <c r="A33" s="241" t="s">
        <v>125</v>
      </c>
      <c r="B33" s="242"/>
      <c r="C33" s="120">
        <f>ROUND(C32,-3)</f>
        <v>30156743000</v>
      </c>
      <c r="D33" s="152">
        <f>ROUND(D32,-3)</f>
        <v>10453061000</v>
      </c>
      <c r="E33" s="152">
        <f>ROUND(E32,-3)</f>
        <v>5764310000</v>
      </c>
      <c r="F33" s="152">
        <f>ROUND(F32,-3)</f>
        <v>2248503000</v>
      </c>
      <c r="G33" s="8">
        <f>ROUND(G32,-3)</f>
        <v>48622617000</v>
      </c>
    </row>
    <row r="34" spans="1:6" ht="15" customHeight="1">
      <c r="A34" s="61" t="s">
        <v>143</v>
      </c>
      <c r="C34" s="2"/>
      <c r="D34" s="2"/>
      <c r="E34" s="2"/>
      <c r="F34" s="2"/>
    </row>
    <row r="35" ht="12" customHeight="1">
      <c r="B35" s="61" t="s">
        <v>144</v>
      </c>
    </row>
    <row r="36" ht="15" customHeight="1">
      <c r="B36" s="61" t="s">
        <v>145</v>
      </c>
    </row>
  </sheetData>
  <sheetProtection/>
  <mergeCells count="10">
    <mergeCell ref="G4:G5"/>
    <mergeCell ref="A33:B33"/>
    <mergeCell ref="A1:G1"/>
    <mergeCell ref="A2:G2"/>
    <mergeCell ref="F3:G3"/>
    <mergeCell ref="E4:F4"/>
    <mergeCell ref="A32:B32"/>
    <mergeCell ref="A4:A5"/>
    <mergeCell ref="B4:B5"/>
    <mergeCell ref="C4:D4"/>
  </mergeCells>
  <printOptions/>
  <pageMargins left="0.65" right="0.48" top="0.23" bottom="0.2" header="0.2" footer="0.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.28125" style="0" customWidth="1"/>
    <col min="2" max="2" width="40.28125" style="0" customWidth="1"/>
    <col min="3" max="4" width="17.00390625" style="0" customWidth="1"/>
    <col min="5" max="5" width="15.57421875" style="0" customWidth="1"/>
    <col min="6" max="6" width="15.7109375" style="0" customWidth="1"/>
    <col min="7" max="7" width="16.7109375" style="0" customWidth="1"/>
    <col min="8" max="8" width="11.140625" style="0" bestFit="1" customWidth="1"/>
    <col min="10" max="10" width="10.00390625" style="0" bestFit="1" customWidth="1"/>
  </cols>
  <sheetData>
    <row r="1" spans="1:7" ht="30.75" customHeight="1">
      <c r="A1" s="243" t="s">
        <v>151</v>
      </c>
      <c r="B1" s="244"/>
      <c r="C1" s="244"/>
      <c r="D1" s="244"/>
      <c r="E1" s="244"/>
      <c r="F1" s="244"/>
      <c r="G1" s="244"/>
    </row>
    <row r="2" spans="1:7" ht="18" customHeight="1">
      <c r="A2" s="245" t="str">
        <f>'biểu 3 (2)'!A2:M2</f>
        <v>(Kèm theo Quyết định số     1518  /QĐ-UBND ngày  27 tháng 4 năm 2015 của của UBND tỉnh Quảng Nam)</v>
      </c>
      <c r="B2" s="245"/>
      <c r="C2" s="245"/>
      <c r="D2" s="245"/>
      <c r="E2" s="245"/>
      <c r="F2" s="245"/>
      <c r="G2" s="245"/>
    </row>
    <row r="3" spans="1:7" ht="18" customHeight="1">
      <c r="A3" s="187"/>
      <c r="B3" s="187"/>
      <c r="C3" s="187"/>
      <c r="D3" s="187"/>
      <c r="E3" s="187"/>
      <c r="F3" s="246" t="s">
        <v>114</v>
      </c>
      <c r="G3" s="246"/>
    </row>
    <row r="4" spans="1:7" ht="27" customHeight="1">
      <c r="A4" s="248" t="s">
        <v>0</v>
      </c>
      <c r="B4" s="249" t="s">
        <v>50</v>
      </c>
      <c r="C4" s="194" t="s">
        <v>126</v>
      </c>
      <c r="D4" s="194" t="s">
        <v>127</v>
      </c>
      <c r="E4" s="194" t="s">
        <v>128</v>
      </c>
      <c r="F4" s="194" t="s">
        <v>129</v>
      </c>
      <c r="G4" s="239" t="s">
        <v>134</v>
      </c>
    </row>
    <row r="5" spans="1:7" ht="14.25">
      <c r="A5" s="248"/>
      <c r="B5" s="250"/>
      <c r="C5" s="129" t="s">
        <v>130</v>
      </c>
      <c r="D5" s="130" t="s">
        <v>131</v>
      </c>
      <c r="E5" s="130" t="s">
        <v>132</v>
      </c>
      <c r="F5" s="130" t="s">
        <v>133</v>
      </c>
      <c r="G5" s="240"/>
    </row>
    <row r="6" spans="1:7" ht="14.25">
      <c r="A6" s="131">
        <v>1</v>
      </c>
      <c r="B6" s="132" t="s">
        <v>52</v>
      </c>
      <c r="C6" s="133">
        <v>10265458287.65804</v>
      </c>
      <c r="D6" s="134">
        <v>3371863423.7271643</v>
      </c>
      <c r="E6" s="134">
        <v>1962345159.4273572</v>
      </c>
      <c r="F6" s="134">
        <v>719781516.7746762</v>
      </c>
      <c r="G6" s="8">
        <f aca="true" t="shared" si="0" ref="G6:G32">C6+D6+E6+F6</f>
        <v>16319448387.587236</v>
      </c>
    </row>
    <row r="7" spans="1:7" ht="14.25">
      <c r="A7" s="135" t="s">
        <v>53</v>
      </c>
      <c r="B7" s="136" t="s">
        <v>16</v>
      </c>
      <c r="C7" s="166">
        <v>7087725288.65804</v>
      </c>
      <c r="D7" s="167">
        <v>2584231775.7271643</v>
      </c>
      <c r="E7" s="167">
        <v>1354889671.9273574</v>
      </c>
      <c r="F7" s="167">
        <v>559668572.7746762</v>
      </c>
      <c r="G7" s="190">
        <f t="shared" si="0"/>
        <v>11586515309.087236</v>
      </c>
    </row>
    <row r="8" spans="1:7" ht="14.25">
      <c r="A8" s="138" t="s">
        <v>53</v>
      </c>
      <c r="B8" s="139" t="s">
        <v>17</v>
      </c>
      <c r="C8" s="169">
        <v>3177732999.0000005</v>
      </c>
      <c r="D8" s="170">
        <v>787631648</v>
      </c>
      <c r="E8" s="170">
        <v>607455487.5</v>
      </c>
      <c r="F8" s="170">
        <v>160112944</v>
      </c>
      <c r="G8" s="191">
        <f t="shared" si="0"/>
        <v>4732933078.5</v>
      </c>
    </row>
    <row r="9" spans="1:7" ht="14.25">
      <c r="A9" s="141">
        <v>2</v>
      </c>
      <c r="B9" s="142" t="s">
        <v>32</v>
      </c>
      <c r="C9" s="143">
        <v>9501674987.442078</v>
      </c>
      <c r="D9" s="144">
        <v>3430512327.549664</v>
      </c>
      <c r="E9" s="144">
        <v>1816013869.8625753</v>
      </c>
      <c r="F9" s="144">
        <v>741974775.6168922</v>
      </c>
      <c r="G9" s="8">
        <f t="shared" si="0"/>
        <v>15490175960.471209</v>
      </c>
    </row>
    <row r="10" spans="1:7" ht="14.25">
      <c r="A10" s="145" t="s">
        <v>54</v>
      </c>
      <c r="B10" s="146" t="s">
        <v>97</v>
      </c>
      <c r="C10" s="147">
        <v>3071280588.8680215</v>
      </c>
      <c r="D10" s="148">
        <v>1085947765.793158</v>
      </c>
      <c r="E10" s="148">
        <v>586779580.6909215</v>
      </c>
      <c r="F10" s="148">
        <v>234211070.2166207</v>
      </c>
      <c r="G10" s="8">
        <f t="shared" si="0"/>
        <v>4978219005.568722</v>
      </c>
    </row>
    <row r="11" spans="1:7" ht="14.25">
      <c r="A11" s="135" t="s">
        <v>53</v>
      </c>
      <c r="B11" s="136" t="s">
        <v>16</v>
      </c>
      <c r="C11" s="166">
        <v>2777501970.8680215</v>
      </c>
      <c r="D11" s="167">
        <v>1012695689.7931579</v>
      </c>
      <c r="E11" s="167">
        <v>530947318.1909216</v>
      </c>
      <c r="F11" s="167">
        <v>219320092.2166207</v>
      </c>
      <c r="G11" s="190">
        <f t="shared" si="0"/>
        <v>4540465071.068722</v>
      </c>
    </row>
    <row r="12" spans="1:7" ht="14.25">
      <c r="A12" s="138" t="s">
        <v>53</v>
      </c>
      <c r="B12" s="139" t="s">
        <v>17</v>
      </c>
      <c r="C12" s="169">
        <v>293778618</v>
      </c>
      <c r="D12" s="170">
        <v>73252076</v>
      </c>
      <c r="E12" s="170">
        <v>55832262.5</v>
      </c>
      <c r="F12" s="170">
        <v>14890978.000000002</v>
      </c>
      <c r="G12" s="191">
        <f t="shared" si="0"/>
        <v>437753934.5</v>
      </c>
    </row>
    <row r="13" spans="1:7" ht="14.25">
      <c r="A13" s="141" t="s">
        <v>55</v>
      </c>
      <c r="B13" s="142" t="s">
        <v>98</v>
      </c>
      <c r="C13" s="143">
        <v>2404243088.0271883</v>
      </c>
      <c r="D13" s="144">
        <v>876603018.8267395</v>
      </c>
      <c r="E13" s="144">
        <v>459595144.57811785</v>
      </c>
      <c r="F13" s="144">
        <v>189846423.6237806</v>
      </c>
      <c r="G13" s="8">
        <f t="shared" si="0"/>
        <v>3930287675.055826</v>
      </c>
    </row>
    <row r="14" spans="1:7" ht="14.25">
      <c r="A14" s="149" t="s">
        <v>53</v>
      </c>
      <c r="B14" s="150" t="s">
        <v>16</v>
      </c>
      <c r="C14" s="172">
        <v>2404243088.0271883</v>
      </c>
      <c r="D14" s="173">
        <v>876603018.8267395</v>
      </c>
      <c r="E14" s="173">
        <v>459595144.57811785</v>
      </c>
      <c r="F14" s="173">
        <v>189846423.6237806</v>
      </c>
      <c r="G14" s="192">
        <f t="shared" si="0"/>
        <v>3930287675.055826</v>
      </c>
    </row>
    <row r="15" spans="1:7" ht="14.25">
      <c r="A15" s="128" t="s">
        <v>56</v>
      </c>
      <c r="B15" s="153" t="s">
        <v>99</v>
      </c>
      <c r="C15" s="151">
        <v>2363780862.939948</v>
      </c>
      <c r="D15" s="152">
        <v>861850222.4740936</v>
      </c>
      <c r="E15" s="152">
        <v>451860385.0267524</v>
      </c>
      <c r="F15" s="152">
        <v>186651401.97105074</v>
      </c>
      <c r="G15" s="8">
        <f t="shared" si="0"/>
        <v>3864142872.4118447</v>
      </c>
    </row>
    <row r="16" spans="1:7" ht="14.25">
      <c r="A16" s="149" t="s">
        <v>53</v>
      </c>
      <c r="B16" s="150" t="s">
        <v>16</v>
      </c>
      <c r="C16" s="172">
        <v>2363780862.939948</v>
      </c>
      <c r="D16" s="173">
        <v>861850222.4740936</v>
      </c>
      <c r="E16" s="173">
        <v>451860385.0267524</v>
      </c>
      <c r="F16" s="173">
        <v>186651401.97105074</v>
      </c>
      <c r="G16" s="192">
        <f t="shared" si="0"/>
        <v>3864142872.4118447</v>
      </c>
    </row>
    <row r="17" spans="1:7" ht="14.25">
      <c r="A17" s="128" t="s">
        <v>57</v>
      </c>
      <c r="B17" s="153" t="s">
        <v>100</v>
      </c>
      <c r="C17" s="151">
        <v>1662370447.6069198</v>
      </c>
      <c r="D17" s="152">
        <v>606111320.455673</v>
      </c>
      <c r="E17" s="152">
        <v>317778759.5667834</v>
      </c>
      <c r="F17" s="152">
        <v>131265879.8054401</v>
      </c>
      <c r="G17" s="8">
        <f t="shared" si="0"/>
        <v>2717526407.434816</v>
      </c>
    </row>
    <row r="18" spans="1:7" ht="14.25">
      <c r="A18" s="149" t="s">
        <v>53</v>
      </c>
      <c r="B18" s="150" t="s">
        <v>16</v>
      </c>
      <c r="C18" s="172">
        <v>1662370447.6069198</v>
      </c>
      <c r="D18" s="173">
        <v>606111320.455673</v>
      </c>
      <c r="E18" s="173">
        <v>317778759.5667834</v>
      </c>
      <c r="F18" s="173">
        <v>131265879.8054401</v>
      </c>
      <c r="G18" s="192">
        <f t="shared" si="0"/>
        <v>2717526407.434816</v>
      </c>
    </row>
    <row r="19" spans="1:7" ht="14.25">
      <c r="A19" s="128" t="s">
        <v>9</v>
      </c>
      <c r="B19" s="153" t="s">
        <v>87</v>
      </c>
      <c r="C19" s="151">
        <v>1407149660.0000002</v>
      </c>
      <c r="D19" s="152">
        <v>513056124</v>
      </c>
      <c r="E19" s="152">
        <v>268990750</v>
      </c>
      <c r="F19" s="152">
        <v>111112862.00000001</v>
      </c>
      <c r="G19" s="8">
        <f t="shared" si="0"/>
        <v>2300309396</v>
      </c>
    </row>
    <row r="20" spans="1:7" ht="14.25">
      <c r="A20" s="128" t="s">
        <v>30</v>
      </c>
      <c r="B20" s="153" t="s">
        <v>59</v>
      </c>
      <c r="C20" s="151">
        <v>21174282935.100117</v>
      </c>
      <c r="D20" s="152">
        <v>7315431875.276828</v>
      </c>
      <c r="E20" s="152">
        <v>4047349779.2899327</v>
      </c>
      <c r="F20" s="152">
        <v>1572869154.3915684</v>
      </c>
      <c r="G20" s="8">
        <f t="shared" si="0"/>
        <v>34109933744.058445</v>
      </c>
    </row>
    <row r="21" spans="1:7" ht="14.25">
      <c r="A21" s="78" t="s">
        <v>42</v>
      </c>
      <c r="B21" s="154" t="s">
        <v>115</v>
      </c>
      <c r="C21" s="155">
        <v>1058714146.7550058</v>
      </c>
      <c r="D21" s="152">
        <v>365771593.7638414</v>
      </c>
      <c r="E21" s="152">
        <v>202367488.96449664</v>
      </c>
      <c r="F21" s="152">
        <v>78643457.71957843</v>
      </c>
      <c r="G21" s="8">
        <f t="shared" si="0"/>
        <v>1705496687.2029223</v>
      </c>
    </row>
    <row r="22" spans="1:7" ht="14.25">
      <c r="A22" s="78" t="s">
        <v>43</v>
      </c>
      <c r="B22" s="154" t="s">
        <v>116</v>
      </c>
      <c r="C22" s="155">
        <v>1222814839.5020318</v>
      </c>
      <c r="D22" s="152">
        <v>422466190.7972368</v>
      </c>
      <c r="E22" s="152">
        <v>233734449.7539936</v>
      </c>
      <c r="F22" s="152">
        <v>90833193.66611308</v>
      </c>
      <c r="G22" s="8">
        <f t="shared" si="0"/>
        <v>1969848673.7193754</v>
      </c>
    </row>
    <row r="23" spans="1:7" ht="14.25">
      <c r="A23" s="156" t="s">
        <v>76</v>
      </c>
      <c r="B23" s="154" t="s">
        <v>117</v>
      </c>
      <c r="C23" s="120">
        <v>1172790596.0678577</v>
      </c>
      <c r="D23" s="152">
        <v>405183482.9918953</v>
      </c>
      <c r="E23" s="152">
        <v>224172585.90042114</v>
      </c>
      <c r="F23" s="152">
        <v>87117290.288863</v>
      </c>
      <c r="G23" s="8">
        <f t="shared" si="0"/>
        <v>1889263955.249037</v>
      </c>
    </row>
    <row r="24" spans="1:7" ht="14.25">
      <c r="A24" s="156" t="s">
        <v>77</v>
      </c>
      <c r="B24" s="154" t="s">
        <v>118</v>
      </c>
      <c r="C24" s="120">
        <v>523357803.4952815</v>
      </c>
      <c r="D24" s="152">
        <v>180813129.2851333</v>
      </c>
      <c r="E24" s="152">
        <v>100037016.45806295</v>
      </c>
      <c r="F24" s="152">
        <v>38876090.79140512</v>
      </c>
      <c r="G24" s="8">
        <f t="shared" si="0"/>
        <v>843084040.0298828</v>
      </c>
    </row>
    <row r="25" spans="1:7" ht="14.25">
      <c r="A25" s="156" t="s">
        <v>78</v>
      </c>
      <c r="B25" s="154" t="s">
        <v>119</v>
      </c>
      <c r="C25" s="120">
        <v>1939502448.2472196</v>
      </c>
      <c r="D25" s="152">
        <v>670072184.9978468</v>
      </c>
      <c r="E25" s="152">
        <v>370725413.93282145</v>
      </c>
      <c r="F25" s="152">
        <v>144070218.81520718</v>
      </c>
      <c r="G25" s="8">
        <f t="shared" si="0"/>
        <v>3124370265.993095</v>
      </c>
    </row>
    <row r="26" spans="1:7" ht="15">
      <c r="A26" s="175" t="s">
        <v>53</v>
      </c>
      <c r="B26" s="200" t="s">
        <v>140</v>
      </c>
      <c r="C26" s="176">
        <f>'biểu 2'!H25</f>
        <v>89567216.8154735</v>
      </c>
      <c r="D26" s="167">
        <f>'biểu 2 (2)'!D26</f>
        <v>30944276.832420982</v>
      </c>
      <c r="E26" s="167">
        <f>'biểu 2 (2)'!E26</f>
        <v>17120289.566396415</v>
      </c>
      <c r="F26" s="167">
        <f>'[1]biểu 2'!$H$25</f>
        <v>6653236.523076335</v>
      </c>
      <c r="G26" s="168">
        <f t="shared" si="0"/>
        <v>144285019.7373672</v>
      </c>
    </row>
    <row r="27" spans="1:8" ht="15">
      <c r="A27" s="180" t="s">
        <v>53</v>
      </c>
      <c r="B27" s="199" t="s">
        <v>141</v>
      </c>
      <c r="C27" s="177">
        <f>'biểu 2'!H26</f>
        <v>13339798.249113074</v>
      </c>
      <c r="D27" s="178">
        <f>'biểu 2 (2)'!D27</f>
        <v>4608722.081424402</v>
      </c>
      <c r="E27" s="178">
        <f>'biểu 2 (2)'!E27</f>
        <v>2549830.3609526576</v>
      </c>
      <c r="F27" s="178">
        <f>'[1]biểu 2'!$H$26</f>
        <v>990907.5672666881</v>
      </c>
      <c r="G27" s="179">
        <f t="shared" si="0"/>
        <v>21489258.25875682</v>
      </c>
      <c r="H27" s="2"/>
    </row>
    <row r="28" spans="1:8" ht="32.25" customHeight="1">
      <c r="A28" s="180" t="s">
        <v>53</v>
      </c>
      <c r="B28" s="212" t="s">
        <v>146</v>
      </c>
      <c r="C28" s="213">
        <f>C25-C26-C27</f>
        <v>1836595433.182633</v>
      </c>
      <c r="D28" s="178">
        <f>D25-D26-D27</f>
        <v>634519186.0840015</v>
      </c>
      <c r="E28" s="178">
        <f>E25-E26-E27</f>
        <v>351055294.00547236</v>
      </c>
      <c r="F28" s="178">
        <f>F25-F26-F27</f>
        <v>136426074.72486416</v>
      </c>
      <c r="G28" s="214">
        <f t="shared" si="0"/>
        <v>2958595987.9969707</v>
      </c>
      <c r="H28" s="2"/>
    </row>
    <row r="29" spans="1:7" ht="14.25">
      <c r="A29" s="156" t="s">
        <v>79</v>
      </c>
      <c r="B29" s="154" t="s">
        <v>108</v>
      </c>
      <c r="C29" s="120">
        <v>3065280532.6662254</v>
      </c>
      <c r="D29" s="152">
        <v>1093322392.2406304</v>
      </c>
      <c r="E29" s="152">
        <v>585922908.4744294</v>
      </c>
      <c r="F29" s="152">
        <v>236094025.71944273</v>
      </c>
      <c r="G29" s="8">
        <f t="shared" si="0"/>
        <v>4980619859.100727</v>
      </c>
    </row>
    <row r="30" spans="1:7" ht="14.25">
      <c r="A30" s="183"/>
      <c r="B30" s="184" t="s">
        <v>89</v>
      </c>
      <c r="C30" s="176">
        <v>1172790596.0678577</v>
      </c>
      <c r="D30" s="137">
        <v>405183482.9918953</v>
      </c>
      <c r="E30" s="137">
        <v>224172585.90042123</v>
      </c>
      <c r="F30" s="137">
        <v>87117290.28886302</v>
      </c>
      <c r="G30" s="164">
        <f t="shared" si="0"/>
        <v>1889263955.249037</v>
      </c>
    </row>
    <row r="31" spans="1:7" ht="14.25">
      <c r="A31" s="185"/>
      <c r="B31" s="186" t="s">
        <v>90</v>
      </c>
      <c r="C31" s="182">
        <v>1892489936.598368</v>
      </c>
      <c r="D31" s="140">
        <v>688138909.2487351</v>
      </c>
      <c r="E31" s="140">
        <v>361750322.5740081</v>
      </c>
      <c r="F31" s="140">
        <v>148976735.4305797</v>
      </c>
      <c r="G31" s="165">
        <f t="shared" si="0"/>
        <v>3091355903.851691</v>
      </c>
    </row>
    <row r="32" spans="1:7" ht="14.25">
      <c r="A32" s="241" t="s">
        <v>58</v>
      </c>
      <c r="B32" s="242"/>
      <c r="C32" s="120">
        <v>30156743301.833736</v>
      </c>
      <c r="D32" s="152">
        <v>10453060849.353413</v>
      </c>
      <c r="E32" s="152">
        <v>5764309642.774158</v>
      </c>
      <c r="F32" s="152">
        <v>2248503431.392178</v>
      </c>
      <c r="G32" s="8">
        <f t="shared" si="0"/>
        <v>48622617225.353485</v>
      </c>
    </row>
    <row r="33" spans="1:7" ht="14.25">
      <c r="A33" s="241" t="s">
        <v>125</v>
      </c>
      <c r="B33" s="242"/>
      <c r="C33" s="120">
        <f>ROUND(C32,-3)</f>
        <v>30156743000</v>
      </c>
      <c r="D33" s="152">
        <f>ROUND(D32,-3)</f>
        <v>10453061000</v>
      </c>
      <c r="E33" s="152">
        <f>ROUND(E32,-3)</f>
        <v>5764310000</v>
      </c>
      <c r="F33" s="152">
        <f>ROUND(F32,-3)</f>
        <v>2248503000</v>
      </c>
      <c r="G33" s="8">
        <f>ROUND(G32,-3)</f>
        <v>48622617000</v>
      </c>
    </row>
    <row r="34" spans="3:6" ht="14.25">
      <c r="C34" s="2"/>
      <c r="D34" s="2"/>
      <c r="E34" s="2"/>
      <c r="F34" s="2"/>
    </row>
    <row r="35" ht="14.25">
      <c r="B35" s="193"/>
    </row>
  </sheetData>
  <sheetProtection/>
  <mergeCells count="8">
    <mergeCell ref="G4:G5"/>
    <mergeCell ref="A33:B33"/>
    <mergeCell ref="A1:G1"/>
    <mergeCell ref="A2:G2"/>
    <mergeCell ref="F3:G3"/>
    <mergeCell ref="A32:B32"/>
    <mergeCell ref="A4:A5"/>
    <mergeCell ref="B4:B5"/>
  </mergeCells>
  <printOptions/>
  <pageMargins left="0.65" right="0.48" top="0.35" bottom="0.2" header="0.2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 : 0972.979.767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QuocThai-ITQuangNam</dc:creator>
  <cp:keywords/>
  <dc:description/>
  <cp:lastModifiedBy>Admin</cp:lastModifiedBy>
  <cp:lastPrinted>2015-04-27T03:49:45Z</cp:lastPrinted>
  <dcterms:created xsi:type="dcterms:W3CDTF">2014-07-04T01:29:41Z</dcterms:created>
  <dcterms:modified xsi:type="dcterms:W3CDTF">2015-04-27T08:57:20Z</dcterms:modified>
  <cp:category/>
  <cp:version/>
  <cp:contentType/>
  <cp:contentStatus/>
</cp:coreProperties>
</file>