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32" windowHeight="8136" activeTab="0"/>
  </bookViews>
  <sheets>
    <sheet name="biểu 1" sheetId="1" r:id="rId1"/>
    <sheet name="biểu 2" sheetId="2" r:id="rId2"/>
    <sheet name="biểu 3 (2)" sheetId="3" r:id="rId3"/>
  </sheets>
  <definedNames>
    <definedName name="_xlnm.Print_Titles" localSheetId="0">'biểu 1'!$8:$9</definedName>
    <definedName name="_xlnm.Print_Titles" localSheetId="1">'biểu 2'!$4:$4</definedName>
  </definedNames>
  <calcPr fullCalcOnLoad="1"/>
</workbook>
</file>

<file path=xl/sharedStrings.xml><?xml version="1.0" encoding="utf-8"?>
<sst xmlns="http://schemas.openxmlformats.org/spreadsheetml/2006/main" count="233" uniqueCount="132">
  <si>
    <t>TT</t>
  </si>
  <si>
    <t>Hạng mục</t>
  </si>
  <si>
    <t>ĐVT</t>
  </si>
  <si>
    <t>Khối lượng</t>
  </si>
  <si>
    <t>Định mức</t>
  </si>
  <si>
    <t>Công</t>
  </si>
  <si>
    <t>Đơn giá</t>
  </si>
  <si>
    <t>A</t>
  </si>
  <si>
    <t>Chi phí trồng rừng</t>
  </si>
  <si>
    <t>I</t>
  </si>
  <si>
    <t>Chi phí trực tiếp</t>
  </si>
  <si>
    <t>Xử lý thực bì</t>
  </si>
  <si>
    <t>Đào hố</t>
  </si>
  <si>
    <t>Lấp hố</t>
  </si>
  <si>
    <t>Vận chuyển, bón phân</t>
  </si>
  <si>
    <t xml:space="preserve">Vận chuyển và trồng cây </t>
  </si>
  <si>
    <t>Chi phí nhân công</t>
  </si>
  <si>
    <t>Vật tư</t>
  </si>
  <si>
    <t>Cây giống</t>
  </si>
  <si>
    <t xml:space="preserve"> - Lát hoa</t>
  </si>
  <si>
    <t>Phân bón (NPK)</t>
  </si>
  <si>
    <t>Bảo vệ</t>
  </si>
  <si>
    <r>
      <t>Cuốc, xới cục bộ quang hố 1m</t>
    </r>
    <r>
      <rPr>
        <vertAlign val="superscript"/>
        <sz val="11"/>
        <color indexed="8"/>
        <rFont val="Times New Roman"/>
        <family val="1"/>
      </rPr>
      <t>2</t>
    </r>
  </si>
  <si>
    <r>
      <t>m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>/công</t>
    </r>
  </si>
  <si>
    <t>hố/công</t>
  </si>
  <si>
    <t>cây/công</t>
  </si>
  <si>
    <t>cây</t>
  </si>
  <si>
    <t>kg</t>
  </si>
  <si>
    <t>ha</t>
  </si>
  <si>
    <t>II</t>
  </si>
  <si>
    <t>B</t>
  </si>
  <si>
    <t>Chăm sóc rừng</t>
  </si>
  <si>
    <t>Xử lý thực bì lần 1</t>
  </si>
  <si>
    <t>Xử lý thực bì lần 2</t>
  </si>
  <si>
    <r>
      <t>Dẫy cỏ, xới gốc 1 m</t>
    </r>
    <r>
      <rPr>
        <vertAlign val="superscript"/>
        <sz val="11"/>
        <color indexed="8"/>
        <rFont val="Times New Roman"/>
        <family val="1"/>
      </rPr>
      <t>2</t>
    </r>
  </si>
  <si>
    <t xml:space="preserve"> Đào hố</t>
  </si>
  <si>
    <t xml:space="preserve"> Lấp hố</t>
  </si>
  <si>
    <t>Vận chuyển và bón phân</t>
  </si>
  <si>
    <t>Vận chuyển và trồng dặm</t>
  </si>
  <si>
    <t>Phân NPK</t>
  </si>
  <si>
    <t>hố</t>
  </si>
  <si>
    <t>III</t>
  </si>
  <si>
    <t>IV</t>
  </si>
  <si>
    <t>C</t>
  </si>
  <si>
    <t>Chi phí nhân công QLBV 1 năm</t>
  </si>
  <si>
    <t>Tổng cộng công trình tính cho 1 ha (trồng rừng + chăm sóc 4 năm + QLBV 5 năm)</t>
  </si>
  <si>
    <r>
      <t>m</t>
    </r>
    <r>
      <rPr>
        <vertAlign val="superscript"/>
        <sz val="11"/>
        <color indexed="8"/>
        <rFont val="Times New Roman"/>
        <family val="1"/>
      </rPr>
      <t>2</t>
    </r>
  </si>
  <si>
    <t xml:space="preserve">Căn cứ lập dự toán: </t>
  </si>
  <si>
    <t xml:space="preserve"> - Thực bì cấp 4, đất cấp 2, cự ly đi làm: 4000m-5000m.</t>
  </si>
  <si>
    <t xml:space="preserve">Hạng mục </t>
  </si>
  <si>
    <t>Đơn giá
(đồng)</t>
  </si>
  <si>
    <t>Trồng rừng</t>
  </si>
  <si>
    <t>-</t>
  </si>
  <si>
    <t>2.1</t>
  </si>
  <si>
    <t>2.2</t>
  </si>
  <si>
    <t>2.3</t>
  </si>
  <si>
    <t>2.4</t>
  </si>
  <si>
    <t>Tổng chi phí</t>
  </si>
  <si>
    <t>Tổng cộng (1+2+3)</t>
  </si>
  <si>
    <t>Năm thực hiện</t>
  </si>
  <si>
    <t>Tổng cộng</t>
  </si>
  <si>
    <t xml:space="preserve">Năm </t>
  </si>
  <si>
    <t>Chi phí vật tư</t>
  </si>
  <si>
    <t>Phân bón</t>
  </si>
  <si>
    <t>Năm 2: Chăm sóc</t>
  </si>
  <si>
    <t>Năm 3: Chăm sóc</t>
  </si>
  <si>
    <t>Năm 4: Chăm sóc</t>
  </si>
  <si>
    <t>Năm 5: Chăm sóc</t>
  </si>
  <si>
    <t>Năm 6: Bảo vệ</t>
  </si>
  <si>
    <t>Năm 7: Bảo vệ</t>
  </si>
  <si>
    <t>Năm 8: Bảo vệ</t>
  </si>
  <si>
    <t>Năm 9: Bảo vệ</t>
  </si>
  <si>
    <t>Năm 10: Bảo vệ</t>
  </si>
  <si>
    <t>Tổng (I+II)</t>
  </si>
  <si>
    <t>*</t>
  </si>
  <si>
    <t>V</t>
  </si>
  <si>
    <t>VI</t>
  </si>
  <si>
    <t>VII</t>
  </si>
  <si>
    <t>VIII</t>
  </si>
  <si>
    <t>IX</t>
  </si>
  <si>
    <t xml:space="preserve">      Đơn vị tính: VN đồng</t>
  </si>
  <si>
    <t>Tổng dự toán
 cho 1 ha</t>
  </si>
  <si>
    <t>Chi phí chung: 
5%*(III)</t>
  </si>
  <si>
    <t>Thuế giá trị gia tăng:
 5%*(III+IV+V)</t>
  </si>
  <si>
    <t>Chi phí QLDA:
 2,125%*(III+IV+V+VI)</t>
  </si>
  <si>
    <t>Chi phí tư vấn ĐT XD
:7,875%*(III+IV+V+VI)</t>
  </si>
  <si>
    <t>Thu nhập chịu thuế
 tính trước:5,5*(III+IV)</t>
  </si>
  <si>
    <t>Năm 1 : Trồng rừng</t>
  </si>
  <si>
    <t>QLBV rừng Năm 6- Năm 10</t>
  </si>
  <si>
    <t>Chi phí dự phòng</t>
  </si>
  <si>
    <t>Dự phòng khối lượng</t>
  </si>
  <si>
    <t>Dự phòng giá</t>
  </si>
  <si>
    <t>"</t>
  </si>
  <si>
    <t>Tỷ lệ dự phòng giá</t>
  </si>
  <si>
    <t>Tỷ lệ d/phòng khối lượng</t>
  </si>
  <si>
    <t>SỬ DỤNG XÂY DỰNG CÔNG TRÌNH THỦY ĐIỆN SÔNG BUNG 2</t>
  </si>
  <si>
    <t>Năm thứ  nhất (2016)</t>
  </si>
  <si>
    <t>Năm thứ 2 (2017)</t>
  </si>
  <si>
    <t>Năm thứ 3 (2018)</t>
  </si>
  <si>
    <t>Năm thứ 4 (2019)</t>
  </si>
  <si>
    <t>Chăm sóc năm thứ nhất (2016)</t>
  </si>
  <si>
    <t>Chăm sóc năm thứ 2 (2017)</t>
  </si>
  <si>
    <t>Chăm sóc năm thứ 3 (2018)</t>
  </si>
  <si>
    <t>Chăm sóc năm thứ 4 (2019)</t>
  </si>
  <si>
    <t>Quản lý bảo vệ rừng 5 năm  (2020 đến 2024)</t>
  </si>
  <si>
    <t>Chỉ số lạm phát</t>
  </si>
  <si>
    <t>Chi phí dự phòng: 10%</t>
  </si>
  <si>
    <r>
      <t>Địa điểm trồng rừng:</t>
    </r>
    <r>
      <rPr>
        <sz val="13"/>
        <color indexed="8"/>
        <rFont val="Times New Roman"/>
        <family val="1"/>
      </rPr>
      <t xml:space="preserve"> Khoảnh 1; 3; 6 tiểu khu 345 xã La Dêê, khoảnh 5 tiểu khu 225 thị trấn Thạnh Mỹ, 
khoảnh 4 tiểu khu 312 xã Cà Dy huyện Nam Giang </t>
    </r>
  </si>
  <si>
    <t>Tổng dự toán
 cho 104,14 ha</t>
  </si>
  <si>
    <t xml:space="preserve"> - Lương công nhân trồng rừng bậc 3, hệ số 2,56. Lương lao động kỹ thuật: Kỹ sư bậc 4, hệ số 3,33. Phụ cấp khu vực lấy trung bình: 0,5</t>
  </si>
  <si>
    <t xml:space="preserve">TRỒNG THAY THẾ ĐỐI VỚI DIỆN TÍCH RỪNG SẢN XUẤT CHUYỂN MỤC ĐÍCH  </t>
  </si>
  <si>
    <r>
      <t>Loài cây trồng:</t>
    </r>
    <r>
      <rPr>
        <sz val="13"/>
        <color indexed="8"/>
        <rFont val="Times New Roman"/>
        <family val="1"/>
      </rPr>
      <t xml:space="preserve"> Lát hoa; Bời lời đỏ: Mật độ trồng: 1333 cây/ha; mô hình trồng rừng: Hỗn loài</t>
    </r>
  </si>
  <si>
    <t xml:space="preserve"> - Bời lời đỏ</t>
  </si>
  <si>
    <t xml:space="preserve"> - Độ dốc: &gt; 25 độ. Hệ số áp dụng: 0,81</t>
  </si>
  <si>
    <t>Đơn vị tính: VN đồng</t>
  </si>
  <si>
    <t>Chi phí chung 5% X (II)</t>
  </si>
  <si>
    <t>Thu nhập chịu thuế tính trước 5,5% X (II + III)</t>
  </si>
  <si>
    <t>Thuế giá trị gia tăng 5% X (II+III+IV)</t>
  </si>
  <si>
    <t>Chi phí quản lý dự án 2,125% X (II+III+IV+V)</t>
  </si>
  <si>
    <t>Chi phí tư vấn đầu tư xây dựng 7,875% X (II+III+IV+V)</t>
  </si>
  <si>
    <t>Dự toán cho 1ha</t>
  </si>
  <si>
    <t>Tổng dự toán cho
 104,14 ha</t>
  </si>
  <si>
    <t>Ghi chú:</t>
  </si>
  <si>
    <t>Chi phí lập phương án 0,423% của II nội suy từ bảng số 2 của Quyết định 957/QĐ-BXD ngày 29/9/2009</t>
  </si>
  <si>
    <t>Thẩm định phương án 0,063% của II nội suy từ bảng số 14 của Quyết định 957/QĐ-BXD ngày 29/9/2009</t>
  </si>
  <si>
    <t>Chi phí lập phương án 0,423% của II</t>
  </si>
  <si>
    <t>Thẩm định phương án 0,063% của II</t>
  </si>
  <si>
    <t>Chi phí quản lý cho các nội dung còn lại quy định theo Thông tư 69</t>
  </si>
  <si>
    <t>Biểu 02 a
  DỰ TOÁN CHÍ PHÍ TRỒNG, CHĂM SÓC VÀ QUẢN LÝ BẢO VỆ RỪNG</t>
  </si>
  <si>
    <t>Biểu 02 b
  TỔNG HỢP DỰ TOÁN ĐẦU TƯ</t>
  </si>
  <si>
    <t>Biểu 02 c
  KẾ HOẠCH  CHI PHÍ ĐẦU TƯ  104,14 HA</t>
  </si>
  <si>
    <t>(Kèm theo Quyết định số     1518  /QĐ-UBND ngày  27 tháng 4 năm 2015 của của UBND tỉnh Quảng Nam)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</si>
</sst>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#,##0.0"/>
    <numFmt numFmtId="173" formatCode="0.0"/>
    <numFmt numFmtId="174" formatCode="_(* #,##0.0_);_(* \(#,##0.0\);_(* &quot;-&quot;??_);_(@_)"/>
    <numFmt numFmtId="175" formatCode="_(* #,##0_);_(* \(#,##0\);_(* &quot;-&quot;??_);_(@_)"/>
    <numFmt numFmtId="176" formatCode="0.000"/>
    <numFmt numFmtId="177" formatCode="#,##0.000000"/>
    <numFmt numFmtId="178" formatCode="0.00000"/>
    <numFmt numFmtId="179" formatCode="0.0000"/>
    <numFmt numFmtId="180" formatCode="#,##0.0000000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name val="Cambria"/>
      <family val="1"/>
    </font>
    <font>
      <sz val="12"/>
      <name val="Times New Roman"/>
      <family val="1"/>
    </font>
    <font>
      <i/>
      <sz val="11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8"/>
      <color indexed="8"/>
      <name val="Calibri"/>
      <family val="2"/>
    </font>
    <font>
      <b/>
      <i/>
      <sz val="8"/>
      <color indexed="8"/>
      <name val="Calibri"/>
      <family val="2"/>
    </font>
    <font>
      <b/>
      <i/>
      <sz val="8"/>
      <color indexed="8"/>
      <name val="Times New Roman"/>
      <family val="1"/>
    </font>
    <font>
      <i/>
      <sz val="8"/>
      <color indexed="8"/>
      <name val="Calibri"/>
      <family val="2"/>
    </font>
    <font>
      <sz val="8"/>
      <color indexed="8"/>
      <name val="Calibri"/>
      <family val="2"/>
    </font>
    <font>
      <i/>
      <sz val="12"/>
      <color indexed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5" fillId="29" borderId="1" applyNumberFormat="0" applyAlignment="0" applyProtection="0"/>
    <xf numFmtId="0" fontId="56" fillId="0" borderId="6" applyNumberFormat="0" applyFill="0" applyAlignment="0" applyProtection="0"/>
    <xf numFmtId="0" fontId="57" fillId="30" borderId="0" applyNumberFormat="0" applyBorder="0" applyAlignment="0" applyProtection="0"/>
    <xf numFmtId="0" fontId="1" fillId="31" borderId="7" applyNumberFormat="0" applyFont="0" applyAlignment="0" applyProtection="0"/>
    <xf numFmtId="0" fontId="58" fillId="26" borderId="8" applyNumberFormat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17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justify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8" fontId="9" fillId="0" borderId="12" xfId="42" applyNumberFormat="1" applyFont="1" applyBorder="1" applyAlignment="1">
      <alignment horizontal="center" vertical="center" wrapText="1"/>
    </xf>
    <xf numFmtId="3" fontId="7" fillId="0" borderId="12" xfId="43" applyNumberFormat="1" applyFont="1" applyBorder="1" applyAlignment="1">
      <alignment vertical="center"/>
    </xf>
    <xf numFmtId="173" fontId="9" fillId="0" borderId="12" xfId="43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vertic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3" fontId="6" fillId="0" borderId="12" xfId="0" applyNumberFormat="1" applyFont="1" applyBorder="1" applyAlignment="1">
      <alignment/>
    </xf>
    <xf numFmtId="0" fontId="6" fillId="0" borderId="15" xfId="0" applyFont="1" applyBorder="1" applyAlignment="1">
      <alignment/>
    </xf>
    <xf numFmtId="3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 horizontal="center"/>
    </xf>
    <xf numFmtId="0" fontId="2" fillId="0" borderId="16" xfId="0" applyFont="1" applyBorder="1" applyAlignment="1">
      <alignment/>
    </xf>
    <xf numFmtId="3" fontId="2" fillId="0" borderId="16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0" fontId="5" fillId="0" borderId="12" xfId="0" applyFont="1" applyBorder="1" applyAlignment="1">
      <alignment/>
    </xf>
    <xf numFmtId="4" fontId="5" fillId="0" borderId="12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12" xfId="0" applyFont="1" applyBorder="1" applyAlignment="1">
      <alignment/>
    </xf>
    <xf numFmtId="2" fontId="2" fillId="0" borderId="16" xfId="0" applyNumberFormat="1" applyFont="1" applyBorder="1" applyAlignment="1">
      <alignment/>
    </xf>
    <xf numFmtId="2" fontId="2" fillId="0" borderId="12" xfId="0" applyNumberFormat="1" applyFont="1" applyBorder="1" applyAlignment="1">
      <alignment/>
    </xf>
    <xf numFmtId="0" fontId="9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justify" vertical="center" wrapText="1"/>
    </xf>
    <xf numFmtId="0" fontId="9" fillId="32" borderId="17" xfId="0" applyFont="1" applyFill="1" applyBorder="1" applyAlignment="1">
      <alignment horizontal="center" vertical="center" wrapText="1"/>
    </xf>
    <xf numFmtId="38" fontId="9" fillId="0" borderId="17" xfId="42" applyNumberFormat="1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3" fontId="9" fillId="0" borderId="17" xfId="43" applyNumberFormat="1" applyFont="1" applyBorder="1" applyAlignment="1">
      <alignment vertical="center"/>
    </xf>
    <xf numFmtId="2" fontId="7" fillId="0" borderId="12" xfId="0" applyNumberFormat="1" applyFont="1" applyBorder="1" applyAlignment="1">
      <alignment horizontal="center" vertical="center" wrapText="1"/>
    </xf>
    <xf numFmtId="173" fontId="9" fillId="0" borderId="17" xfId="43" applyNumberFormat="1" applyFont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38" fontId="7" fillId="0" borderId="12" xfId="42" applyNumberFormat="1" applyFont="1" applyBorder="1" applyAlignment="1">
      <alignment horizontal="center" vertical="center" wrapText="1"/>
    </xf>
    <xf numFmtId="173" fontId="7" fillId="0" borderId="12" xfId="43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>
      <alignment/>
    </xf>
    <xf numFmtId="3" fontId="2" fillId="0" borderId="19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0" fontId="15" fillId="0" borderId="0" xfId="0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9" fillId="0" borderId="12" xfId="0" applyFont="1" applyBorder="1" applyAlignment="1">
      <alignment horizontal="center" vertical="center" wrapText="1"/>
    </xf>
    <xf numFmtId="0" fontId="15" fillId="0" borderId="20" xfId="0" applyFont="1" applyBorder="1" applyAlignment="1">
      <alignment/>
    </xf>
    <xf numFmtId="0" fontId="15" fillId="0" borderId="0" xfId="0" applyFont="1" applyBorder="1" applyAlignment="1">
      <alignment/>
    </xf>
    <xf numFmtId="175" fontId="6" fillId="0" borderId="0" xfId="0" applyNumberFormat="1" applyFont="1" applyBorder="1" applyAlignment="1">
      <alignment/>
    </xf>
    <xf numFmtId="0" fontId="9" fillId="0" borderId="21" xfId="0" applyFont="1" applyBorder="1" applyAlignment="1">
      <alignment horizontal="center" vertical="center"/>
    </xf>
    <xf numFmtId="0" fontId="9" fillId="0" borderId="21" xfId="0" applyFont="1" applyBorder="1" applyAlignment="1">
      <alignment horizontal="justify" vertical="center" wrapText="1"/>
    </xf>
    <xf numFmtId="0" fontId="9" fillId="32" borderId="21" xfId="0" applyFont="1" applyFill="1" applyBorder="1" applyAlignment="1">
      <alignment horizontal="center" vertical="center" wrapText="1"/>
    </xf>
    <xf numFmtId="38" fontId="9" fillId="0" borderId="21" xfId="42" applyNumberFormat="1" applyFont="1" applyBorder="1" applyAlignment="1">
      <alignment horizontal="center" vertical="center" wrapText="1"/>
    </xf>
    <xf numFmtId="2" fontId="9" fillId="0" borderId="21" xfId="43" applyNumberFormat="1" applyFont="1" applyBorder="1" applyAlignment="1">
      <alignment horizontal="center" vertical="center" wrapText="1"/>
    </xf>
    <xf numFmtId="3" fontId="9" fillId="0" borderId="21" xfId="0" applyNumberFormat="1" applyFont="1" applyBorder="1" applyAlignment="1">
      <alignment horizontal="center" vertical="center" wrapText="1"/>
    </xf>
    <xf numFmtId="3" fontId="9" fillId="0" borderId="21" xfId="43" applyNumberFormat="1" applyFont="1" applyBorder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justify" vertical="center" wrapText="1"/>
    </xf>
    <xf numFmtId="3" fontId="9" fillId="0" borderId="12" xfId="43" applyNumberFormat="1" applyFont="1" applyBorder="1" applyAlignment="1">
      <alignment vertical="center"/>
    </xf>
    <xf numFmtId="173" fontId="9" fillId="0" borderId="21" xfId="43" applyNumberFormat="1" applyFont="1" applyBorder="1" applyAlignment="1">
      <alignment horizontal="center" vertical="center" wrapText="1"/>
    </xf>
    <xf numFmtId="9" fontId="20" fillId="0" borderId="21" xfId="0" applyNumberFormat="1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1" fillId="0" borderId="21" xfId="0" applyFont="1" applyBorder="1" applyAlignment="1">
      <alignment/>
    </xf>
    <xf numFmtId="3" fontId="22" fillId="0" borderId="16" xfId="0" applyNumberFormat="1" applyFont="1" applyBorder="1" applyAlignment="1">
      <alignment/>
    </xf>
    <xf numFmtId="3" fontId="21" fillId="0" borderId="10" xfId="0" applyNumberFormat="1" applyFont="1" applyBorder="1" applyAlignment="1">
      <alignment/>
    </xf>
    <xf numFmtId="3" fontId="22" fillId="0" borderId="10" xfId="0" applyNumberFormat="1" applyFont="1" applyBorder="1" applyAlignment="1">
      <alignment/>
    </xf>
    <xf numFmtId="3" fontId="21" fillId="0" borderId="11" xfId="0" applyNumberFormat="1" applyFont="1" applyBorder="1" applyAlignment="1">
      <alignment/>
    </xf>
    <xf numFmtId="3" fontId="22" fillId="0" borderId="12" xfId="0" applyNumberFormat="1" applyFont="1" applyBorder="1" applyAlignment="1">
      <alignment/>
    </xf>
    <xf numFmtId="3" fontId="22" fillId="0" borderId="12" xfId="0" applyNumberFormat="1" applyFont="1" applyBorder="1" applyAlignment="1">
      <alignment vertical="center"/>
    </xf>
    <xf numFmtId="3" fontId="21" fillId="0" borderId="12" xfId="0" applyNumberFormat="1" applyFont="1" applyBorder="1" applyAlignment="1">
      <alignment vertical="center"/>
    </xf>
    <xf numFmtId="4" fontId="19" fillId="0" borderId="16" xfId="0" applyNumberFormat="1" applyFont="1" applyBorder="1" applyAlignment="1">
      <alignment/>
    </xf>
    <xf numFmtId="4" fontId="19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11" xfId="0" applyNumberFormat="1" applyFont="1" applyBorder="1" applyAlignment="1">
      <alignment/>
    </xf>
    <xf numFmtId="43" fontId="1" fillId="0" borderId="0" xfId="42" applyFont="1" applyAlignment="1">
      <alignment/>
    </xf>
    <xf numFmtId="0" fontId="6" fillId="0" borderId="12" xfId="0" applyFont="1" applyBorder="1" applyAlignment="1">
      <alignment horizontal="center"/>
    </xf>
    <xf numFmtId="3" fontId="5" fillId="0" borderId="22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3" fontId="5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3" fontId="15" fillId="0" borderId="22" xfId="0" applyNumberFormat="1" applyFont="1" applyBorder="1" applyAlignment="1">
      <alignment/>
    </xf>
    <xf numFmtId="0" fontId="9" fillId="0" borderId="19" xfId="0" applyFont="1" applyBorder="1" applyAlignment="1">
      <alignment horizontal="center" vertical="center"/>
    </xf>
    <xf numFmtId="3" fontId="15" fillId="0" borderId="19" xfId="0" applyNumberFormat="1" applyFont="1" applyBorder="1" applyAlignment="1">
      <alignment/>
    </xf>
    <xf numFmtId="0" fontId="6" fillId="0" borderId="23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7" fillId="0" borderId="12" xfId="0" applyNumberFormat="1" applyFont="1" applyFill="1" applyBorder="1" applyAlignment="1">
      <alignment vertical="center"/>
    </xf>
    <xf numFmtId="0" fontId="12" fillId="0" borderId="15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6" fillId="0" borderId="24" xfId="0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27" xfId="0" applyFont="1" applyBorder="1" applyAlignment="1">
      <alignment/>
    </xf>
    <xf numFmtId="3" fontId="15" fillId="0" borderId="10" xfId="0" applyNumberFormat="1" applyFont="1" applyBorder="1" applyAlignment="1">
      <alignment/>
    </xf>
    <xf numFmtId="0" fontId="24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5" fillId="0" borderId="12" xfId="0" applyFont="1" applyBorder="1" applyAlignment="1">
      <alignment horizontal="left"/>
    </xf>
    <xf numFmtId="0" fontId="26" fillId="0" borderId="12" xfId="0" applyFont="1" applyBorder="1" applyAlignment="1">
      <alignment horizontal="center"/>
    </xf>
    <xf numFmtId="0" fontId="22" fillId="0" borderId="12" xfId="0" applyFont="1" applyBorder="1" applyAlignment="1">
      <alignment/>
    </xf>
    <xf numFmtId="0" fontId="24" fillId="0" borderId="21" xfId="0" applyFont="1" applyBorder="1" applyAlignment="1">
      <alignment horizontal="center"/>
    </xf>
    <xf numFmtId="0" fontId="27" fillId="0" borderId="21" xfId="0" applyFont="1" applyBorder="1" applyAlignment="1">
      <alignment horizontal="center"/>
    </xf>
    <xf numFmtId="0" fontId="27" fillId="0" borderId="21" xfId="0" applyFont="1" applyBorder="1" applyAlignment="1">
      <alignment horizontal="left"/>
    </xf>
    <xf numFmtId="2" fontId="22" fillId="0" borderId="12" xfId="0" applyNumberFormat="1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2" fillId="0" borderId="16" xfId="0" applyFont="1" applyBorder="1" applyAlignment="1">
      <alignment/>
    </xf>
    <xf numFmtId="0" fontId="28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1" xfId="0" applyFont="1" applyBorder="1" applyAlignment="1">
      <alignment/>
    </xf>
    <xf numFmtId="0" fontId="22" fillId="0" borderId="12" xfId="0" applyFont="1" applyBorder="1" applyAlignment="1">
      <alignment horizontal="center" vertical="center"/>
    </xf>
    <xf numFmtId="0" fontId="22" fillId="0" borderId="12" xfId="0" applyFont="1" applyBorder="1" applyAlignment="1">
      <alignment wrapText="1"/>
    </xf>
    <xf numFmtId="0" fontId="22" fillId="0" borderId="12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 wrapText="1"/>
    </xf>
    <xf numFmtId="3" fontId="2" fillId="0" borderId="21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left"/>
    </xf>
    <xf numFmtId="3" fontId="19" fillId="0" borderId="16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172" fontId="2" fillId="0" borderId="12" xfId="0" applyNumberFormat="1" applyFont="1" applyBorder="1" applyAlignment="1">
      <alignment/>
    </xf>
    <xf numFmtId="0" fontId="30" fillId="0" borderId="28" xfId="0" applyFont="1" applyFill="1" applyBorder="1" applyAlignment="1" quotePrefix="1">
      <alignment horizontal="center" vertical="center"/>
    </xf>
    <xf numFmtId="0" fontId="15" fillId="0" borderId="22" xfId="0" applyFont="1" applyBorder="1" applyAlignment="1">
      <alignment/>
    </xf>
    <xf numFmtId="0" fontId="30" fillId="0" borderId="29" xfId="0" applyFont="1" applyFill="1" applyBorder="1" applyAlignment="1" quotePrefix="1">
      <alignment horizontal="center" vertical="center"/>
    </xf>
    <xf numFmtId="0" fontId="15" fillId="0" borderId="10" xfId="0" applyFont="1" applyBorder="1" applyAlignment="1">
      <alignment/>
    </xf>
    <xf numFmtId="0" fontId="15" fillId="0" borderId="19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10" fillId="0" borderId="18" xfId="0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5" fillId="0" borderId="18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3" fillId="0" borderId="18" xfId="0" applyFont="1" applyBorder="1" applyAlignment="1">
      <alignment horizontal="right"/>
    </xf>
    <xf numFmtId="0" fontId="29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1">
      <selection activeCell="A6" sqref="A6:I6"/>
    </sheetView>
  </sheetViews>
  <sheetFormatPr defaultColWidth="9.140625" defaultRowHeight="15"/>
  <cols>
    <col min="1" max="1" width="3.57421875" style="0" customWidth="1"/>
    <col min="2" max="2" width="34.28125" style="0" customWidth="1"/>
    <col min="3" max="3" width="8.7109375" style="0" customWidth="1"/>
    <col min="4" max="4" width="11.7109375" style="0" customWidth="1"/>
    <col min="5" max="5" width="11.8515625" style="0" customWidth="1"/>
    <col min="6" max="6" width="11.00390625" style="0" customWidth="1"/>
    <col min="7" max="7" width="12.57421875" style="0" customWidth="1"/>
    <col min="8" max="8" width="14.00390625" style="0" customWidth="1"/>
    <col min="9" max="9" width="16.140625" style="0" customWidth="1"/>
    <col min="10" max="10" width="12.140625" style="0" customWidth="1"/>
    <col min="11" max="11" width="15.00390625" style="0" customWidth="1"/>
    <col min="13" max="13" width="11.7109375" style="0" customWidth="1"/>
    <col min="14" max="14" width="14.8515625" style="0" customWidth="1"/>
    <col min="15" max="15" width="13.57421875" style="0" customWidth="1"/>
  </cols>
  <sheetData>
    <row r="1" spans="1:9" ht="34.5" customHeight="1">
      <c r="A1" s="152" t="s">
        <v>128</v>
      </c>
      <c r="B1" s="153"/>
      <c r="C1" s="153"/>
      <c r="D1" s="153"/>
      <c r="E1" s="153"/>
      <c r="F1" s="153"/>
      <c r="G1" s="153"/>
      <c r="H1" s="153"/>
      <c r="I1" s="153"/>
    </row>
    <row r="2" spans="1:9" ht="17.25">
      <c r="A2" s="153" t="s">
        <v>110</v>
      </c>
      <c r="B2" s="153"/>
      <c r="C2" s="153"/>
      <c r="D2" s="153"/>
      <c r="E2" s="153"/>
      <c r="F2" s="153"/>
      <c r="G2" s="153"/>
      <c r="H2" s="153"/>
      <c r="I2" s="153"/>
    </row>
    <row r="3" spans="1:9" ht="17.25">
      <c r="A3" s="153" t="s">
        <v>95</v>
      </c>
      <c r="B3" s="153"/>
      <c r="C3" s="153"/>
      <c r="D3" s="153"/>
      <c r="E3" s="153"/>
      <c r="F3" s="153"/>
      <c r="G3" s="153"/>
      <c r="H3" s="153"/>
      <c r="I3" s="153"/>
    </row>
    <row r="4" spans="1:9" ht="16.5">
      <c r="A4" s="154" t="s">
        <v>111</v>
      </c>
      <c r="B4" s="155"/>
      <c r="C4" s="155"/>
      <c r="D4" s="155"/>
      <c r="E4" s="155"/>
      <c r="F4" s="155"/>
      <c r="G4" s="155"/>
      <c r="H4" s="155"/>
      <c r="I4" s="155"/>
    </row>
    <row r="5" spans="1:9" ht="39" customHeight="1">
      <c r="A5" s="156" t="s">
        <v>107</v>
      </c>
      <c r="B5" s="155"/>
      <c r="C5" s="155"/>
      <c r="D5" s="155"/>
      <c r="E5" s="155"/>
      <c r="F5" s="155"/>
      <c r="G5" s="155"/>
      <c r="H5" s="155"/>
      <c r="I5" s="155"/>
    </row>
    <row r="6" spans="1:9" ht="20.25" customHeight="1">
      <c r="A6" s="158" t="s">
        <v>131</v>
      </c>
      <c r="B6" s="158"/>
      <c r="C6" s="158"/>
      <c r="D6" s="158"/>
      <c r="E6" s="158"/>
      <c r="F6" s="158"/>
      <c r="G6" s="158"/>
      <c r="H6" s="158"/>
      <c r="I6" s="158"/>
    </row>
    <row r="7" spans="1:9" ht="15.75" customHeight="1">
      <c r="A7" s="51"/>
      <c r="B7" s="51"/>
      <c r="C7" s="51"/>
      <c r="D7" s="51"/>
      <c r="E7" s="51"/>
      <c r="F7" s="51"/>
      <c r="G7" s="51"/>
      <c r="H7" s="157" t="s">
        <v>114</v>
      </c>
      <c r="I7" s="157"/>
    </row>
    <row r="8" spans="1:15" ht="15" customHeight="1">
      <c r="A8" s="147" t="s">
        <v>0</v>
      </c>
      <c r="B8" s="147" t="s">
        <v>1</v>
      </c>
      <c r="C8" s="147" t="s">
        <v>2</v>
      </c>
      <c r="D8" s="147" t="s">
        <v>3</v>
      </c>
      <c r="E8" s="147" t="s">
        <v>4</v>
      </c>
      <c r="F8" s="147" t="s">
        <v>5</v>
      </c>
      <c r="G8" s="147" t="s">
        <v>6</v>
      </c>
      <c r="H8" s="151" t="s">
        <v>81</v>
      </c>
      <c r="I8" s="151" t="s">
        <v>108</v>
      </c>
      <c r="J8" s="166"/>
      <c r="K8" s="150"/>
      <c r="L8" s="150"/>
      <c r="M8" s="149"/>
      <c r="N8" s="149"/>
      <c r="O8" s="161"/>
    </row>
    <row r="9" spans="1:15" ht="29.25" customHeight="1">
      <c r="A9" s="148"/>
      <c r="B9" s="148"/>
      <c r="C9" s="148"/>
      <c r="D9" s="148"/>
      <c r="E9" s="148"/>
      <c r="F9" s="148"/>
      <c r="G9" s="148"/>
      <c r="H9" s="148"/>
      <c r="I9" s="148"/>
      <c r="J9" s="166"/>
      <c r="K9" s="150"/>
      <c r="L9" s="150"/>
      <c r="M9" s="150"/>
      <c r="N9" s="150"/>
      <c r="O9" s="162"/>
    </row>
    <row r="10" spans="1:15" ht="15">
      <c r="A10" s="24" t="s">
        <v>7</v>
      </c>
      <c r="B10" s="28" t="s">
        <v>8</v>
      </c>
      <c r="C10" s="28"/>
      <c r="D10" s="28"/>
      <c r="E10" s="28"/>
      <c r="F10" s="28"/>
      <c r="G10" s="28"/>
      <c r="H10" s="23">
        <f>H11</f>
        <v>32378177.68126718</v>
      </c>
      <c r="I10" s="23">
        <f>H10*104.14</f>
        <v>3371863423.7271643</v>
      </c>
      <c r="J10" s="57"/>
      <c r="K10" s="57"/>
      <c r="L10" s="57"/>
      <c r="M10" s="57"/>
      <c r="N10" s="57"/>
      <c r="O10" s="57"/>
    </row>
    <row r="11" spans="1:15" ht="15">
      <c r="A11" s="24" t="s">
        <v>9</v>
      </c>
      <c r="B11" s="28" t="s">
        <v>10</v>
      </c>
      <c r="C11" s="28"/>
      <c r="D11" s="28"/>
      <c r="E11" s="28"/>
      <c r="F11" s="28"/>
      <c r="G11" s="28"/>
      <c r="H11" s="23">
        <f>H12+H20</f>
        <v>32378177.68126718</v>
      </c>
      <c r="I11" s="23">
        <f aca="true" t="shared" si="0" ref="I11:I59">H11*104.14</f>
        <v>3371863423.7271643</v>
      </c>
      <c r="J11" s="57"/>
      <c r="K11" s="57"/>
      <c r="L11" s="57"/>
      <c r="M11" s="57"/>
      <c r="N11" s="57"/>
      <c r="O11" s="57"/>
    </row>
    <row r="12" spans="1:15" ht="15">
      <c r="A12" s="24">
        <v>1</v>
      </c>
      <c r="B12" s="28" t="s">
        <v>16</v>
      </c>
      <c r="C12" s="28"/>
      <c r="D12" s="28"/>
      <c r="E12" s="28"/>
      <c r="F12" s="29">
        <f>SUM(F13:F19)</f>
        <v>183.3445352977967</v>
      </c>
      <c r="G12" s="23"/>
      <c r="H12" s="23">
        <f>SUM(H13:H19)</f>
        <v>24814977.68126718</v>
      </c>
      <c r="I12" s="23">
        <f t="shared" si="0"/>
        <v>2584231775.7271643</v>
      </c>
      <c r="J12" s="57"/>
      <c r="K12" s="57"/>
      <c r="L12" s="57"/>
      <c r="M12" s="57"/>
      <c r="N12" s="57"/>
      <c r="O12" s="57"/>
    </row>
    <row r="13" spans="1:15" ht="17.25">
      <c r="A13" s="52"/>
      <c r="B13" s="25" t="s">
        <v>11</v>
      </c>
      <c r="C13" s="52" t="s">
        <v>23</v>
      </c>
      <c r="D13" s="26">
        <v>8333</v>
      </c>
      <c r="E13" s="85">
        <f>155*0.81</f>
        <v>125.55000000000001</v>
      </c>
      <c r="F13" s="27">
        <f aca="true" t="shared" si="1" ref="F13:F18">D13/E13</f>
        <v>66.37196336121066</v>
      </c>
      <c r="G13" s="26">
        <f>1150000*(2.56+0.5)/26</f>
        <v>135346.15384615384</v>
      </c>
      <c r="H13" s="26">
        <f>F13*G13</f>
        <v>8983189.964157704</v>
      </c>
      <c r="I13" s="91">
        <f>H13*104.14</f>
        <v>935509402.8673834</v>
      </c>
      <c r="J13" s="57"/>
      <c r="K13" s="57"/>
      <c r="L13" s="57"/>
      <c r="M13" s="57"/>
      <c r="N13" s="57"/>
      <c r="O13" s="57"/>
    </row>
    <row r="14" spans="1:15" ht="15">
      <c r="A14" s="49"/>
      <c r="B14" s="3" t="s">
        <v>12</v>
      </c>
      <c r="C14" s="49" t="s">
        <v>24</v>
      </c>
      <c r="D14" s="4">
        <v>1333</v>
      </c>
      <c r="E14" s="86">
        <f>53*0.81</f>
        <v>42.93</v>
      </c>
      <c r="F14" s="5">
        <f t="shared" si="1"/>
        <v>31.05054740274866</v>
      </c>
      <c r="G14" s="26">
        <f aca="true" t="shared" si="2" ref="G14:G19">1150000*(2.56+0.5)/26</f>
        <v>135346.15384615384</v>
      </c>
      <c r="H14" s="4">
        <f aca="true" t="shared" si="3" ref="H14:H19">F14*G14</f>
        <v>4202572.165779713</v>
      </c>
      <c r="I14" s="92">
        <f t="shared" si="0"/>
        <v>437655865.34429926</v>
      </c>
      <c r="J14" s="57"/>
      <c r="K14" s="57"/>
      <c r="L14" s="57"/>
      <c r="M14" s="57"/>
      <c r="N14" s="57"/>
      <c r="O14" s="57"/>
    </row>
    <row r="15" spans="1:15" ht="15">
      <c r="A15" s="49"/>
      <c r="B15" s="3" t="s">
        <v>13</v>
      </c>
      <c r="C15" s="49" t="s">
        <v>24</v>
      </c>
      <c r="D15" s="4">
        <v>1333</v>
      </c>
      <c r="E15" s="86">
        <f>152*0.81</f>
        <v>123.12</v>
      </c>
      <c r="F15" s="5">
        <f t="shared" si="1"/>
        <v>10.826835607537362</v>
      </c>
      <c r="G15" s="26">
        <f t="shared" si="2"/>
        <v>135346.15384615384</v>
      </c>
      <c r="H15" s="4">
        <f t="shared" si="3"/>
        <v>1465370.5578047682</v>
      </c>
      <c r="I15" s="92">
        <f t="shared" si="0"/>
        <v>152603689.88978857</v>
      </c>
      <c r="J15" s="57"/>
      <c r="K15" s="57"/>
      <c r="L15" s="57"/>
      <c r="M15" s="57"/>
      <c r="N15" s="57"/>
      <c r="O15" s="57"/>
    </row>
    <row r="16" spans="1:15" ht="17.25">
      <c r="A16" s="49"/>
      <c r="B16" s="3" t="s">
        <v>22</v>
      </c>
      <c r="C16" s="49" t="s">
        <v>23</v>
      </c>
      <c r="D16" s="4">
        <v>1333</v>
      </c>
      <c r="E16" s="86">
        <f>90*0.81</f>
        <v>72.9</v>
      </c>
      <c r="F16" s="5">
        <f t="shared" si="1"/>
        <v>18.28532235939643</v>
      </c>
      <c r="G16" s="26">
        <f t="shared" si="2"/>
        <v>135346.15384615384</v>
      </c>
      <c r="H16" s="4">
        <f t="shared" si="3"/>
        <v>2474848.053181386</v>
      </c>
      <c r="I16" s="92">
        <f t="shared" si="0"/>
        <v>257730676.25830954</v>
      </c>
      <c r="J16" s="57"/>
      <c r="K16" s="57"/>
      <c r="L16" s="57"/>
      <c r="M16" s="57"/>
      <c r="N16" s="57"/>
      <c r="O16" s="57"/>
    </row>
    <row r="17" spans="1:15" ht="15">
      <c r="A17" s="49"/>
      <c r="B17" s="3" t="s">
        <v>14</v>
      </c>
      <c r="C17" s="49" t="s">
        <v>25</v>
      </c>
      <c r="D17" s="4">
        <v>1333</v>
      </c>
      <c r="E17" s="86">
        <f>99*0.81</f>
        <v>80.19000000000001</v>
      </c>
      <c r="F17" s="5">
        <f t="shared" si="1"/>
        <v>16.623020326724028</v>
      </c>
      <c r="G17" s="26">
        <f t="shared" si="2"/>
        <v>135346.15384615384</v>
      </c>
      <c r="H17" s="4">
        <f t="shared" si="3"/>
        <v>2249861.866528533</v>
      </c>
      <c r="I17" s="92">
        <f t="shared" si="0"/>
        <v>234300614.78028142</v>
      </c>
      <c r="J17" s="57"/>
      <c r="K17" s="57"/>
      <c r="L17" s="57"/>
      <c r="M17" s="57"/>
      <c r="N17" s="57"/>
      <c r="O17" s="57"/>
    </row>
    <row r="18" spans="1:15" ht="15">
      <c r="A18" s="49"/>
      <c r="B18" s="3" t="s">
        <v>15</v>
      </c>
      <c r="C18" s="49" t="s">
        <v>25</v>
      </c>
      <c r="D18" s="4">
        <v>1466</v>
      </c>
      <c r="E18" s="86">
        <f>55*0.81</f>
        <v>44.550000000000004</v>
      </c>
      <c r="F18" s="5">
        <f t="shared" si="1"/>
        <v>32.90684624017957</v>
      </c>
      <c r="G18" s="26">
        <f t="shared" si="2"/>
        <v>135346.15384615384</v>
      </c>
      <c r="H18" s="4">
        <f t="shared" si="3"/>
        <v>4453815.073815073</v>
      </c>
      <c r="I18" s="92">
        <f t="shared" si="0"/>
        <v>463820301.7871017</v>
      </c>
      <c r="J18" s="57"/>
      <c r="K18" s="57"/>
      <c r="L18" s="57"/>
      <c r="M18" s="57"/>
      <c r="N18" s="57"/>
      <c r="O18" s="57"/>
    </row>
    <row r="19" spans="1:15" ht="15">
      <c r="A19" s="49"/>
      <c r="B19" s="3" t="s">
        <v>21</v>
      </c>
      <c r="C19" s="49" t="s">
        <v>28</v>
      </c>
      <c r="D19" s="4">
        <v>1</v>
      </c>
      <c r="E19" s="86">
        <f>F19</f>
        <v>7.28</v>
      </c>
      <c r="F19" s="5">
        <v>7.28</v>
      </c>
      <c r="G19" s="26">
        <f t="shared" si="2"/>
        <v>135346.15384615384</v>
      </c>
      <c r="H19" s="4">
        <f t="shared" si="3"/>
        <v>985320</v>
      </c>
      <c r="I19" s="93">
        <f t="shared" si="0"/>
        <v>102611224.8</v>
      </c>
      <c r="J19" s="61"/>
      <c r="K19" s="165"/>
      <c r="L19" s="165"/>
      <c r="M19" s="165"/>
      <c r="N19" s="165"/>
      <c r="O19" s="62"/>
    </row>
    <row r="20" spans="1:15" ht="15">
      <c r="A20" s="24">
        <v>2</v>
      </c>
      <c r="B20" s="28" t="s">
        <v>17</v>
      </c>
      <c r="C20" s="24"/>
      <c r="D20" s="23"/>
      <c r="E20" s="23"/>
      <c r="F20" s="23"/>
      <c r="G20" s="23"/>
      <c r="H20" s="23">
        <f>H21+H24</f>
        <v>7563200</v>
      </c>
      <c r="I20" s="23">
        <f t="shared" si="0"/>
        <v>787631648</v>
      </c>
      <c r="J20" s="163"/>
      <c r="K20" s="164"/>
      <c r="L20" s="164"/>
      <c r="M20" s="164"/>
      <c r="N20" s="63"/>
      <c r="O20" s="62"/>
    </row>
    <row r="21" spans="1:9" ht="14.25">
      <c r="A21" s="52"/>
      <c r="B21" s="25" t="s">
        <v>18</v>
      </c>
      <c r="C21" s="52" t="s">
        <v>26</v>
      </c>
      <c r="D21" s="26">
        <f>D22+D23</f>
        <v>1466</v>
      </c>
      <c r="E21" s="26"/>
      <c r="F21" s="26"/>
      <c r="G21" s="26"/>
      <c r="H21" s="26">
        <f>H22+H23</f>
        <v>5701200</v>
      </c>
      <c r="I21" s="91">
        <f t="shared" si="0"/>
        <v>593722968</v>
      </c>
    </row>
    <row r="22" spans="1:9" ht="14.25">
      <c r="A22" s="49"/>
      <c r="B22" s="3" t="s">
        <v>19</v>
      </c>
      <c r="C22" s="49" t="s">
        <v>92</v>
      </c>
      <c r="D22" s="4">
        <v>440</v>
      </c>
      <c r="E22" s="4"/>
      <c r="F22" s="4"/>
      <c r="G22" s="4">
        <v>3630</v>
      </c>
      <c r="H22" s="4">
        <f>D22*G22</f>
        <v>1597200</v>
      </c>
      <c r="I22" s="92">
        <f t="shared" si="0"/>
        <v>166332408</v>
      </c>
    </row>
    <row r="23" spans="1:11" ht="14.25">
      <c r="A23" s="49"/>
      <c r="B23" s="3" t="s">
        <v>112</v>
      </c>
      <c r="C23" s="49" t="s">
        <v>92</v>
      </c>
      <c r="D23" s="4">
        <v>1026</v>
      </c>
      <c r="E23" s="4"/>
      <c r="F23" s="4"/>
      <c r="G23" s="4">
        <v>4000</v>
      </c>
      <c r="H23" s="4">
        <f>D23*G23</f>
        <v>4104000</v>
      </c>
      <c r="I23" s="92">
        <f t="shared" si="0"/>
        <v>427390560</v>
      </c>
      <c r="K23" s="2"/>
    </row>
    <row r="24" spans="1:9" ht="14.25">
      <c r="A24" s="49"/>
      <c r="B24" s="3" t="s">
        <v>20</v>
      </c>
      <c r="C24" s="49" t="s">
        <v>27</v>
      </c>
      <c r="D24" s="4">
        <v>133</v>
      </c>
      <c r="E24" s="4"/>
      <c r="F24" s="4"/>
      <c r="G24" s="4">
        <v>14000</v>
      </c>
      <c r="H24" s="4">
        <f>D24*G24</f>
        <v>1862000</v>
      </c>
      <c r="I24" s="93">
        <f t="shared" si="0"/>
        <v>193908680</v>
      </c>
    </row>
    <row r="25" spans="1:9" ht="14.25">
      <c r="A25" s="24" t="s">
        <v>30</v>
      </c>
      <c r="B25" s="28" t="s">
        <v>31</v>
      </c>
      <c r="C25" s="29"/>
      <c r="D25" s="29"/>
      <c r="E25" s="29"/>
      <c r="F25" s="29"/>
      <c r="G25" s="29"/>
      <c r="H25" s="23">
        <f>H26+H41+H47+H53</f>
        <v>32941351.33041736</v>
      </c>
      <c r="I25" s="23">
        <f t="shared" si="0"/>
        <v>3430512327.549664</v>
      </c>
    </row>
    <row r="26" spans="1:9" ht="14.25">
      <c r="A26" s="24" t="s">
        <v>9</v>
      </c>
      <c r="B26" s="28" t="s">
        <v>100</v>
      </c>
      <c r="C26" s="29"/>
      <c r="D26" s="29"/>
      <c r="E26" s="29"/>
      <c r="F26" s="29"/>
      <c r="G26" s="29"/>
      <c r="H26" s="23">
        <f>H27+H36</f>
        <v>10427768.060237737</v>
      </c>
      <c r="I26" s="23">
        <f t="shared" si="0"/>
        <v>1085947765.793158</v>
      </c>
    </row>
    <row r="27" spans="1:9" ht="14.25">
      <c r="A27" s="24">
        <v>1</v>
      </c>
      <c r="B27" s="28" t="s">
        <v>16</v>
      </c>
      <c r="C27" s="29"/>
      <c r="D27" s="29"/>
      <c r="E27" s="29"/>
      <c r="F27" s="29">
        <f>SUM(F28:F35)</f>
        <v>71.84813002733196</v>
      </c>
      <c r="G27" s="23">
        <f>1150000*(2.56+0.5)/26</f>
        <v>135346.15384615384</v>
      </c>
      <c r="H27" s="23">
        <f>SUM(H28:H35)</f>
        <v>9724368.060237737</v>
      </c>
      <c r="I27" s="23">
        <f t="shared" si="0"/>
        <v>1012695689.7931579</v>
      </c>
    </row>
    <row r="28" spans="1:9" ht="17.25">
      <c r="A28" s="52"/>
      <c r="B28" s="25" t="s">
        <v>32</v>
      </c>
      <c r="C28" s="26" t="s">
        <v>46</v>
      </c>
      <c r="D28" s="26">
        <v>8333</v>
      </c>
      <c r="E28" s="26">
        <f>470*0.81</f>
        <v>380.70000000000005</v>
      </c>
      <c r="F28" s="27">
        <f>D28/E28</f>
        <v>21.888626214867347</v>
      </c>
      <c r="G28" s="26">
        <f>1150000*(2.56+0.5)/26</f>
        <v>135346.15384615384</v>
      </c>
      <c r="H28" s="94">
        <f>F28*G28</f>
        <v>2962541.371158392</v>
      </c>
      <c r="I28" s="91">
        <f t="shared" si="0"/>
        <v>308519058.39243495</v>
      </c>
    </row>
    <row r="29" spans="1:9" ht="17.25">
      <c r="A29" s="49"/>
      <c r="B29" s="3" t="s">
        <v>33</v>
      </c>
      <c r="C29" s="4" t="s">
        <v>46</v>
      </c>
      <c r="D29" s="4">
        <v>8333</v>
      </c>
      <c r="E29" s="4">
        <f>698*0.81</f>
        <v>565.38</v>
      </c>
      <c r="F29" s="5">
        <f aca="true" t="shared" si="4" ref="F29:F34">D29/E29</f>
        <v>14.738759772188617</v>
      </c>
      <c r="G29" s="26">
        <f aca="true" t="shared" si="5" ref="G29:G35">1150000*(2.56+0.5)/26</f>
        <v>135346.15384615384</v>
      </c>
      <c r="H29" s="4">
        <f aca="true" t="shared" si="6" ref="H29:H35">F29*G29</f>
        <v>1994834.447628144</v>
      </c>
      <c r="I29" s="92">
        <f t="shared" si="0"/>
        <v>207742059.37599492</v>
      </c>
    </row>
    <row r="30" spans="1:9" ht="17.25">
      <c r="A30" s="49"/>
      <c r="B30" s="3" t="s">
        <v>34</v>
      </c>
      <c r="C30" s="4" t="s">
        <v>46</v>
      </c>
      <c r="D30" s="4">
        <v>1333</v>
      </c>
      <c r="E30" s="4">
        <f>90*0.81</f>
        <v>72.9</v>
      </c>
      <c r="F30" s="5">
        <f t="shared" si="4"/>
        <v>18.28532235939643</v>
      </c>
      <c r="G30" s="26">
        <f t="shared" si="5"/>
        <v>135346.15384615384</v>
      </c>
      <c r="H30" s="4">
        <f t="shared" si="6"/>
        <v>2474848.053181386</v>
      </c>
      <c r="I30" s="92">
        <f t="shared" si="0"/>
        <v>257730676.25830954</v>
      </c>
    </row>
    <row r="31" spans="1:9" ht="14.25">
      <c r="A31" s="50"/>
      <c r="B31" s="6" t="s">
        <v>35</v>
      </c>
      <c r="C31" s="7" t="s">
        <v>40</v>
      </c>
      <c r="D31" s="7">
        <v>133</v>
      </c>
      <c r="E31" s="7">
        <f>53*0.81</f>
        <v>42.93</v>
      </c>
      <c r="F31" s="30">
        <f t="shared" si="4"/>
        <v>3.098066620079199</v>
      </c>
      <c r="G31" s="134">
        <f t="shared" si="5"/>
        <v>135346.15384615384</v>
      </c>
      <c r="H31" s="7">
        <f t="shared" si="6"/>
        <v>419311.4013868731</v>
      </c>
      <c r="I31" s="135">
        <f t="shared" si="0"/>
        <v>43667089.34042896</v>
      </c>
    </row>
    <row r="32" spans="1:9" ht="14.25">
      <c r="A32" s="136"/>
      <c r="B32" s="33" t="s">
        <v>36</v>
      </c>
      <c r="C32" s="31" t="s">
        <v>40</v>
      </c>
      <c r="D32" s="31">
        <v>133</v>
      </c>
      <c r="E32" s="31">
        <f>152*0.81</f>
        <v>123.12</v>
      </c>
      <c r="F32" s="32">
        <f t="shared" si="4"/>
        <v>1.0802469135802468</v>
      </c>
      <c r="G32" s="31">
        <f t="shared" si="5"/>
        <v>135346.15384615384</v>
      </c>
      <c r="H32" s="31">
        <f t="shared" si="6"/>
        <v>146207.26495726494</v>
      </c>
      <c r="I32" s="23">
        <f t="shared" si="0"/>
        <v>15226024.57264957</v>
      </c>
    </row>
    <row r="33" spans="1:9" ht="14.25">
      <c r="A33" s="136"/>
      <c r="B33" s="33" t="s">
        <v>37</v>
      </c>
      <c r="C33" s="31" t="s">
        <v>26</v>
      </c>
      <c r="D33" s="140">
        <v>133</v>
      </c>
      <c r="E33" s="31">
        <f>99*0.81</f>
        <v>80.19000000000001</v>
      </c>
      <c r="F33" s="32">
        <f t="shared" si="4"/>
        <v>1.6585609178201768</v>
      </c>
      <c r="G33" s="31">
        <f t="shared" si="5"/>
        <v>135346.15384615384</v>
      </c>
      <c r="H33" s="31">
        <f t="shared" si="6"/>
        <v>224479.84114650777</v>
      </c>
      <c r="I33" s="23">
        <f t="shared" si="0"/>
        <v>23377330.65699732</v>
      </c>
    </row>
    <row r="34" spans="1:9" ht="14.25">
      <c r="A34" s="52"/>
      <c r="B34" s="25" t="s">
        <v>38</v>
      </c>
      <c r="C34" s="26" t="s">
        <v>26</v>
      </c>
      <c r="D34" s="26">
        <v>133</v>
      </c>
      <c r="E34" s="138">
        <f>43*0.81</f>
        <v>34.830000000000005</v>
      </c>
      <c r="F34" s="27">
        <f t="shared" si="4"/>
        <v>3.818547229399942</v>
      </c>
      <c r="G34" s="26">
        <f t="shared" si="5"/>
        <v>135346.15384615384</v>
      </c>
      <c r="H34" s="26">
        <f t="shared" si="6"/>
        <v>516825.680779169</v>
      </c>
      <c r="I34" s="139">
        <f t="shared" si="0"/>
        <v>53822226.396342665</v>
      </c>
    </row>
    <row r="35" spans="1:9" ht="14.25">
      <c r="A35" s="53"/>
      <c r="B35" s="54" t="s">
        <v>21</v>
      </c>
      <c r="C35" s="55" t="s">
        <v>28</v>
      </c>
      <c r="D35" s="55">
        <v>1</v>
      </c>
      <c r="E35" s="56">
        <v>7.28</v>
      </c>
      <c r="F35" s="56">
        <v>7.28</v>
      </c>
      <c r="G35" s="26">
        <f t="shared" si="5"/>
        <v>135346.15384615384</v>
      </c>
      <c r="H35" s="55">
        <f t="shared" si="6"/>
        <v>985320</v>
      </c>
      <c r="I35" s="93">
        <f t="shared" si="0"/>
        <v>102611224.8</v>
      </c>
    </row>
    <row r="36" spans="1:9" ht="14.25">
      <c r="A36" s="24">
        <v>2</v>
      </c>
      <c r="B36" s="28" t="s">
        <v>17</v>
      </c>
      <c r="C36" s="23"/>
      <c r="D36" s="23"/>
      <c r="E36" s="23"/>
      <c r="F36" s="29"/>
      <c r="G36" s="29"/>
      <c r="H36" s="23">
        <f>H37+H40</f>
        <v>703400</v>
      </c>
      <c r="I36" s="23">
        <f t="shared" si="0"/>
        <v>73252076</v>
      </c>
    </row>
    <row r="37" spans="1:9" ht="14.25">
      <c r="A37" s="52"/>
      <c r="B37" s="25" t="s">
        <v>18</v>
      </c>
      <c r="C37" s="26"/>
      <c r="D37" s="26">
        <v>133</v>
      </c>
      <c r="E37" s="26"/>
      <c r="F37" s="27"/>
      <c r="G37" s="27"/>
      <c r="H37" s="95">
        <f>H38+H39</f>
        <v>517200</v>
      </c>
      <c r="I37" s="91">
        <f t="shared" si="0"/>
        <v>53861208</v>
      </c>
    </row>
    <row r="38" spans="1:9" ht="14.25">
      <c r="A38" s="49"/>
      <c r="B38" s="3" t="s">
        <v>19</v>
      </c>
      <c r="C38" s="4" t="s">
        <v>26</v>
      </c>
      <c r="D38" s="4">
        <v>40</v>
      </c>
      <c r="E38" s="4">
        <v>3630</v>
      </c>
      <c r="F38" s="5"/>
      <c r="G38" s="4"/>
      <c r="H38" s="4">
        <f>D38*E38</f>
        <v>145200</v>
      </c>
      <c r="I38" s="92">
        <f t="shared" si="0"/>
        <v>15121128</v>
      </c>
    </row>
    <row r="39" spans="1:9" ht="14.25">
      <c r="A39" s="49"/>
      <c r="B39" s="3" t="s">
        <v>112</v>
      </c>
      <c r="C39" s="4" t="s">
        <v>26</v>
      </c>
      <c r="D39" s="4">
        <v>93</v>
      </c>
      <c r="E39" s="4">
        <v>4000</v>
      </c>
      <c r="F39" s="5"/>
      <c r="G39" s="4"/>
      <c r="H39" s="4">
        <f>D39*E39</f>
        <v>372000</v>
      </c>
      <c r="I39" s="92">
        <f t="shared" si="0"/>
        <v>38740080</v>
      </c>
    </row>
    <row r="40" spans="1:9" ht="14.25">
      <c r="A40" s="50"/>
      <c r="B40" s="6" t="s">
        <v>39</v>
      </c>
      <c r="C40" s="30" t="s">
        <v>27</v>
      </c>
      <c r="D40" s="30">
        <v>13.3</v>
      </c>
      <c r="E40" s="7">
        <v>14000</v>
      </c>
      <c r="F40" s="30"/>
      <c r="G40" s="7"/>
      <c r="H40" s="55">
        <f>D40*E40</f>
        <v>186200</v>
      </c>
      <c r="I40" s="93">
        <f t="shared" si="0"/>
        <v>19390868</v>
      </c>
    </row>
    <row r="41" spans="1:9" ht="14.25">
      <c r="A41" s="24" t="s">
        <v>29</v>
      </c>
      <c r="B41" s="28" t="s">
        <v>101</v>
      </c>
      <c r="C41" s="29"/>
      <c r="D41" s="29"/>
      <c r="E41" s="23"/>
      <c r="F41" s="29"/>
      <c r="G41" s="29"/>
      <c r="H41" s="23">
        <f>H42</f>
        <v>8417543.871967923</v>
      </c>
      <c r="I41" s="23">
        <f t="shared" si="0"/>
        <v>876603018.8267395</v>
      </c>
    </row>
    <row r="42" spans="1:9" ht="14.25">
      <c r="A42" s="24">
        <v>1</v>
      </c>
      <c r="B42" s="28" t="s">
        <v>16</v>
      </c>
      <c r="C42" s="29"/>
      <c r="D42" s="29"/>
      <c r="E42" s="23"/>
      <c r="F42" s="29">
        <f>SUM(F43:F46)</f>
        <v>62.1927083464524</v>
      </c>
      <c r="G42" s="23">
        <f>1150000*(2.56+0.5)/26</f>
        <v>135346.15384615384</v>
      </c>
      <c r="H42" s="23">
        <f>SUM(H43:H46)</f>
        <v>8417543.871967923</v>
      </c>
      <c r="I42" s="23">
        <f t="shared" si="0"/>
        <v>876603018.8267395</v>
      </c>
    </row>
    <row r="43" spans="1:9" ht="17.25">
      <c r="A43" s="52"/>
      <c r="B43" s="25" t="s">
        <v>32</v>
      </c>
      <c r="C43" s="26" t="s">
        <v>46</v>
      </c>
      <c r="D43" s="26">
        <v>8333</v>
      </c>
      <c r="E43" s="26">
        <f>470*0.81</f>
        <v>380.70000000000005</v>
      </c>
      <c r="F43" s="27">
        <f>D43/E43</f>
        <v>21.888626214867347</v>
      </c>
      <c r="G43" s="26">
        <f>1150000*(2.56+0.5)/26</f>
        <v>135346.15384615384</v>
      </c>
      <c r="H43" s="94">
        <f>F43*G43</f>
        <v>2962541.371158392</v>
      </c>
      <c r="I43" s="91">
        <f t="shared" si="0"/>
        <v>308519058.39243495</v>
      </c>
    </row>
    <row r="44" spans="1:9" ht="17.25">
      <c r="A44" s="49"/>
      <c r="B44" s="3" t="s">
        <v>33</v>
      </c>
      <c r="C44" s="4" t="s">
        <v>46</v>
      </c>
      <c r="D44" s="4">
        <v>8333</v>
      </c>
      <c r="E44" s="4">
        <f>698*0.81</f>
        <v>565.38</v>
      </c>
      <c r="F44" s="5">
        <f>D44/E44</f>
        <v>14.738759772188617</v>
      </c>
      <c r="G44" s="26">
        <f>1150000*(2.56+0.5)/26</f>
        <v>135346.15384615384</v>
      </c>
      <c r="H44" s="4">
        <f>F44*G44</f>
        <v>1994834.447628144</v>
      </c>
      <c r="I44" s="92">
        <f t="shared" si="0"/>
        <v>207742059.37599492</v>
      </c>
    </row>
    <row r="45" spans="1:9" ht="17.25">
      <c r="A45" s="49"/>
      <c r="B45" s="3" t="s">
        <v>34</v>
      </c>
      <c r="C45" s="4" t="s">
        <v>46</v>
      </c>
      <c r="D45" s="4">
        <v>1333</v>
      </c>
      <c r="E45" s="9">
        <f>90*0.81</f>
        <v>72.9</v>
      </c>
      <c r="F45" s="5">
        <f>D45/E45</f>
        <v>18.28532235939643</v>
      </c>
      <c r="G45" s="26">
        <f>1150000*(2.56+0.5)/26</f>
        <v>135346.15384615384</v>
      </c>
      <c r="H45" s="4">
        <f>F45*G45</f>
        <v>2474848.053181386</v>
      </c>
      <c r="I45" s="92">
        <f t="shared" si="0"/>
        <v>257730676.25830954</v>
      </c>
    </row>
    <row r="46" spans="1:9" ht="14.25">
      <c r="A46" s="50"/>
      <c r="B46" s="6" t="s">
        <v>21</v>
      </c>
      <c r="C46" s="7" t="s">
        <v>28</v>
      </c>
      <c r="D46" s="7">
        <v>1</v>
      </c>
      <c r="E46" s="30">
        <v>7.28</v>
      </c>
      <c r="F46" s="30">
        <v>7.28</v>
      </c>
      <c r="G46" s="26">
        <f>1150000*(2.56+0.5)/26</f>
        <v>135346.15384615384</v>
      </c>
      <c r="H46" s="55">
        <f>F46*G46</f>
        <v>985320</v>
      </c>
      <c r="I46" s="93">
        <f t="shared" si="0"/>
        <v>102611224.8</v>
      </c>
    </row>
    <row r="47" spans="1:9" ht="14.25">
      <c r="A47" s="24" t="s">
        <v>41</v>
      </c>
      <c r="B47" s="28" t="s">
        <v>102</v>
      </c>
      <c r="C47" s="29"/>
      <c r="D47" s="29"/>
      <c r="E47" s="29"/>
      <c r="F47" s="29"/>
      <c r="G47" s="29"/>
      <c r="H47" s="23">
        <f>H48</f>
        <v>8275880.761226172</v>
      </c>
      <c r="I47" s="23">
        <f t="shared" si="0"/>
        <v>861850222.4740936</v>
      </c>
    </row>
    <row r="48" spans="1:9" ht="14.25">
      <c r="A48" s="24">
        <v>1</v>
      </c>
      <c r="B48" s="28" t="s">
        <v>16</v>
      </c>
      <c r="C48" s="29"/>
      <c r="D48" s="29"/>
      <c r="E48" s="32"/>
      <c r="F48" s="29">
        <f>SUM(F49:F52)</f>
        <v>61.14603574648493</v>
      </c>
      <c r="G48" s="23">
        <f>1150000*(2.56+0.5)/26</f>
        <v>135346.15384615384</v>
      </c>
      <c r="H48" s="23">
        <f>SUM(H49:H52)</f>
        <v>8275880.761226172</v>
      </c>
      <c r="I48" s="23">
        <f t="shared" si="0"/>
        <v>861850222.4740936</v>
      </c>
    </row>
    <row r="49" spans="1:9" ht="17.25">
      <c r="A49" s="52"/>
      <c r="B49" s="25" t="s">
        <v>32</v>
      </c>
      <c r="C49" s="26" t="s">
        <v>46</v>
      </c>
      <c r="D49" s="26">
        <v>8333</v>
      </c>
      <c r="E49" s="26">
        <f>567*0.81</f>
        <v>459.27000000000004</v>
      </c>
      <c r="F49" s="27">
        <f>D49/E49</f>
        <v>18.144011148126374</v>
      </c>
      <c r="G49" s="26">
        <f>1150000*(2.56+0.5)/26</f>
        <v>135346.15384615384</v>
      </c>
      <c r="H49" s="94">
        <f>F49*G49</f>
        <v>2455722.124240643</v>
      </c>
      <c r="I49" s="91">
        <f t="shared" si="0"/>
        <v>255738902.01842055</v>
      </c>
    </row>
    <row r="50" spans="1:9" ht="17.25">
      <c r="A50" s="49"/>
      <c r="B50" s="3" t="s">
        <v>33</v>
      </c>
      <c r="C50" s="4" t="s">
        <v>46</v>
      </c>
      <c r="D50" s="4">
        <v>8333</v>
      </c>
      <c r="E50" s="3">
        <f>590*0.81</f>
        <v>477.90000000000003</v>
      </c>
      <c r="F50" s="5">
        <f>D50/E50</f>
        <v>17.436702238962123</v>
      </c>
      <c r="G50" s="26">
        <f>1150000*(2.56+0.5)/26</f>
        <v>135346.15384615384</v>
      </c>
      <c r="H50" s="4">
        <f>F50*G50</f>
        <v>2359990.5838041427</v>
      </c>
      <c r="I50" s="92">
        <f t="shared" si="0"/>
        <v>245769419.39736342</v>
      </c>
    </row>
    <row r="51" spans="1:9" ht="17.25">
      <c r="A51" s="49"/>
      <c r="B51" s="3" t="s">
        <v>34</v>
      </c>
      <c r="C51" s="4" t="s">
        <v>46</v>
      </c>
      <c r="D51" s="4">
        <v>1333</v>
      </c>
      <c r="E51" s="3">
        <f>90*0.81</f>
        <v>72.9</v>
      </c>
      <c r="F51" s="5">
        <f>D51/E51</f>
        <v>18.28532235939643</v>
      </c>
      <c r="G51" s="26">
        <f>1150000*(2.56+0.5)/26</f>
        <v>135346.15384615384</v>
      </c>
      <c r="H51" s="4">
        <f>F51*G51</f>
        <v>2474848.053181386</v>
      </c>
      <c r="I51" s="92">
        <f t="shared" si="0"/>
        <v>257730676.25830954</v>
      </c>
    </row>
    <row r="52" spans="1:9" ht="14.25">
      <c r="A52" s="50"/>
      <c r="B52" s="6" t="s">
        <v>21</v>
      </c>
      <c r="C52" s="7" t="s">
        <v>28</v>
      </c>
      <c r="D52" s="7">
        <v>1</v>
      </c>
      <c r="E52" s="88">
        <v>7.28</v>
      </c>
      <c r="F52" s="6">
        <v>7.28</v>
      </c>
      <c r="G52" s="26">
        <f>1150000*(2.56+0.5)/26</f>
        <v>135346.15384615384</v>
      </c>
      <c r="H52" s="55">
        <f>F52*G52</f>
        <v>985320</v>
      </c>
      <c r="I52" s="93">
        <f t="shared" si="0"/>
        <v>102611224.8</v>
      </c>
    </row>
    <row r="53" spans="1:9" ht="14.25">
      <c r="A53" s="24" t="s">
        <v>42</v>
      </c>
      <c r="B53" s="28" t="s">
        <v>103</v>
      </c>
      <c r="C53" s="29"/>
      <c r="D53" s="29"/>
      <c r="E53" s="28"/>
      <c r="F53" s="28"/>
      <c r="G53" s="28"/>
      <c r="H53" s="23">
        <f>H54</f>
        <v>5820158.636985529</v>
      </c>
      <c r="I53" s="23">
        <f t="shared" si="0"/>
        <v>606111320.455673</v>
      </c>
    </row>
    <row r="54" spans="1:9" ht="14.25">
      <c r="A54" s="24">
        <v>1</v>
      </c>
      <c r="B54" s="28" t="s">
        <v>16</v>
      </c>
      <c r="C54" s="29"/>
      <c r="D54" s="29"/>
      <c r="E54" s="33"/>
      <c r="F54" s="35">
        <f>F55+F56+F57</f>
        <v>43.00202459835856</v>
      </c>
      <c r="G54" s="31">
        <f>1150000*(2.56+0.5)/26</f>
        <v>135346.15384615384</v>
      </c>
      <c r="H54" s="23">
        <f>H55+H56+H57</f>
        <v>5820158.636985529</v>
      </c>
      <c r="I54" s="23">
        <f t="shared" si="0"/>
        <v>606111320.455673</v>
      </c>
    </row>
    <row r="55" spans="1:9" ht="17.25">
      <c r="A55" s="52"/>
      <c r="B55" s="25" t="s">
        <v>32</v>
      </c>
      <c r="C55" s="26" t="s">
        <v>46</v>
      </c>
      <c r="D55" s="26">
        <v>8333</v>
      </c>
      <c r="E55" s="25">
        <f>590*0.81</f>
        <v>477.90000000000003</v>
      </c>
      <c r="F55" s="34">
        <f>D55/E55</f>
        <v>17.436702238962123</v>
      </c>
      <c r="G55" s="94">
        <f>1150000*(2.56+0.5)/26</f>
        <v>135346.15384615384</v>
      </c>
      <c r="H55" s="94">
        <f>F55*G55</f>
        <v>2359990.5838041427</v>
      </c>
      <c r="I55" s="91">
        <f t="shared" si="0"/>
        <v>245769419.39736342</v>
      </c>
    </row>
    <row r="56" spans="1:9" ht="17.25">
      <c r="A56" s="49"/>
      <c r="B56" s="3" t="s">
        <v>34</v>
      </c>
      <c r="C56" s="4" t="s">
        <v>46</v>
      </c>
      <c r="D56" s="4">
        <v>1333</v>
      </c>
      <c r="E56" s="3">
        <f>90*0.81</f>
        <v>72.9</v>
      </c>
      <c r="F56" s="10">
        <f>D56/E56</f>
        <v>18.28532235939643</v>
      </c>
      <c r="G56" s="4">
        <f>1150000*(2.56+0.5)/26</f>
        <v>135346.15384615384</v>
      </c>
      <c r="H56" s="4">
        <f>F56*G56</f>
        <v>2474848.053181386</v>
      </c>
      <c r="I56" s="92">
        <f t="shared" si="0"/>
        <v>257730676.25830954</v>
      </c>
    </row>
    <row r="57" spans="1:9" ht="14.25">
      <c r="A57" s="50"/>
      <c r="B57" s="6" t="s">
        <v>21</v>
      </c>
      <c r="C57" s="7" t="s">
        <v>28</v>
      </c>
      <c r="D57" s="7">
        <v>1</v>
      </c>
      <c r="E57" s="88">
        <v>7.28</v>
      </c>
      <c r="F57" s="6">
        <v>7.28</v>
      </c>
      <c r="G57" s="55">
        <f>1150000*(2.56+0.5)/26</f>
        <v>135346.15384615384</v>
      </c>
      <c r="H57" s="55">
        <f>F57*G57</f>
        <v>985320</v>
      </c>
      <c r="I57" s="93">
        <f t="shared" si="0"/>
        <v>102611224.8</v>
      </c>
    </row>
    <row r="58" spans="1:9" ht="14.25">
      <c r="A58" s="24" t="s">
        <v>43</v>
      </c>
      <c r="B58" s="28" t="s">
        <v>104</v>
      </c>
      <c r="C58" s="28"/>
      <c r="D58" s="28"/>
      <c r="E58" s="28"/>
      <c r="F58" s="28">
        <f>F59*5</f>
        <v>36.4</v>
      </c>
      <c r="G58" s="23">
        <f>G59</f>
        <v>135346.15384615384</v>
      </c>
      <c r="H58" s="23">
        <f>H59*5</f>
        <v>4926600</v>
      </c>
      <c r="I58" s="23">
        <f t="shared" si="0"/>
        <v>513056124</v>
      </c>
    </row>
    <row r="59" spans="1:9" ht="14.25">
      <c r="A59" s="3"/>
      <c r="B59" s="3" t="s">
        <v>44</v>
      </c>
      <c r="C59" s="3" t="s">
        <v>28</v>
      </c>
      <c r="D59" s="3">
        <v>1</v>
      </c>
      <c r="E59" s="10">
        <v>7.28</v>
      </c>
      <c r="F59" s="3">
        <v>7.28</v>
      </c>
      <c r="G59" s="4">
        <f>1150000*(2.56+0.5)/26</f>
        <v>135346.15384615384</v>
      </c>
      <c r="H59" s="4">
        <f>F59*G59</f>
        <v>985320</v>
      </c>
      <c r="I59" s="23">
        <f t="shared" si="0"/>
        <v>102611224.8</v>
      </c>
    </row>
    <row r="60" spans="1:9" ht="15">
      <c r="A60" s="146" t="s">
        <v>45</v>
      </c>
      <c r="B60" s="146"/>
      <c r="C60" s="146"/>
      <c r="D60" s="146"/>
      <c r="E60" s="146"/>
      <c r="F60" s="146"/>
      <c r="G60" s="146"/>
      <c r="H60" s="8">
        <f>H10+H25+H58</f>
        <v>70246129.01168454</v>
      </c>
      <c r="I60" s="8">
        <f>I10+I25+I58</f>
        <v>7315431875.276829</v>
      </c>
    </row>
    <row r="61" ht="6.75" customHeight="1"/>
    <row r="62" spans="1:8" ht="14.25">
      <c r="A62" s="160" t="s">
        <v>47</v>
      </c>
      <c r="B62" s="160"/>
      <c r="C62" s="1"/>
      <c r="D62" s="1"/>
      <c r="E62" s="1"/>
      <c r="F62" s="1"/>
      <c r="G62" s="1"/>
      <c r="H62" s="2"/>
    </row>
    <row r="63" spans="2:8" ht="14.25">
      <c r="B63" s="1" t="s">
        <v>48</v>
      </c>
      <c r="C63" s="1"/>
      <c r="D63" s="1"/>
      <c r="E63" s="1"/>
      <c r="F63" s="1"/>
      <c r="G63" s="1"/>
      <c r="H63" s="2"/>
    </row>
    <row r="64" spans="2:9" ht="14.25">
      <c r="B64" s="159" t="s">
        <v>109</v>
      </c>
      <c r="C64" s="159"/>
      <c r="D64" s="159"/>
      <c r="E64" s="159"/>
      <c r="F64" s="159"/>
      <c r="G64" s="159"/>
      <c r="H64" s="159"/>
      <c r="I64" s="159"/>
    </row>
    <row r="65" spans="2:7" ht="14.25">
      <c r="B65" s="159" t="s">
        <v>113</v>
      </c>
      <c r="C65" s="159"/>
      <c r="D65" s="159"/>
      <c r="E65" s="1"/>
      <c r="F65" s="1"/>
      <c r="G65" s="1"/>
    </row>
    <row r="66" spans="2:7" ht="14.25">
      <c r="B66" s="1"/>
      <c r="C66" s="1"/>
      <c r="D66" s="1"/>
      <c r="E66" s="1"/>
      <c r="F66" s="1"/>
      <c r="G66" s="1"/>
    </row>
  </sheetData>
  <sheetProtection/>
  <mergeCells count="28">
    <mergeCell ref="B65:D65"/>
    <mergeCell ref="A62:B62"/>
    <mergeCell ref="B64:I64"/>
    <mergeCell ref="O8:O9"/>
    <mergeCell ref="J20:M20"/>
    <mergeCell ref="K19:N19"/>
    <mergeCell ref="J8:J9"/>
    <mergeCell ref="K8:K9"/>
    <mergeCell ref="L8:L9"/>
    <mergeCell ref="M8:M9"/>
    <mergeCell ref="N8:N9"/>
    <mergeCell ref="I8:I9"/>
    <mergeCell ref="A1:I1"/>
    <mergeCell ref="A4:I4"/>
    <mergeCell ref="A5:I5"/>
    <mergeCell ref="H8:H9"/>
    <mergeCell ref="A2:I2"/>
    <mergeCell ref="A3:I3"/>
    <mergeCell ref="H7:I7"/>
    <mergeCell ref="A6:I6"/>
    <mergeCell ref="A60:G60"/>
    <mergeCell ref="A8:A9"/>
    <mergeCell ref="B8:B9"/>
    <mergeCell ref="C8:C9"/>
    <mergeCell ref="D8:D9"/>
    <mergeCell ref="E8:E9"/>
    <mergeCell ref="F8:F9"/>
    <mergeCell ref="G8:G9"/>
  </mergeCells>
  <printOptions/>
  <pageMargins left="0.79" right="0.47" top="0.57" bottom="0" header="0" footer="0"/>
  <pageSetup horizontalDpi="600" verticalDpi="600" orientation="landscape" r:id="rId1"/>
  <headerFooter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4"/>
  <sheetViews>
    <sheetView zoomScalePageLayoutView="0" workbookViewId="0" topLeftCell="A9">
      <selection activeCell="P4" sqref="P4"/>
    </sheetView>
  </sheetViews>
  <sheetFormatPr defaultColWidth="9.140625" defaultRowHeight="15"/>
  <cols>
    <col min="1" max="1" width="4.8515625" style="0" customWidth="1"/>
    <col min="2" max="2" width="29.421875" style="0" customWidth="1"/>
    <col min="3" max="3" width="7.57421875" style="0" customWidth="1"/>
    <col min="4" max="4" width="8.00390625" style="0" customWidth="1"/>
    <col min="5" max="5" width="8.140625" style="0" customWidth="1"/>
    <col min="6" max="6" width="8.8515625" style="0" customWidth="1"/>
    <col min="7" max="7" width="12.140625" style="0" customWidth="1"/>
    <col min="8" max="8" width="17.7109375" style="0" customWidth="1"/>
    <col min="9" max="9" width="13.8515625" style="0" hidden="1" customWidth="1"/>
    <col min="10" max="10" width="13.00390625" style="0" hidden="1" customWidth="1"/>
    <col min="11" max="11" width="12.57421875" style="0" hidden="1" customWidth="1"/>
    <col min="12" max="12" width="22.00390625" style="0" hidden="1" customWidth="1"/>
  </cols>
  <sheetData>
    <row r="1" spans="1:8" ht="36" customHeight="1">
      <c r="A1" s="152" t="s">
        <v>129</v>
      </c>
      <c r="B1" s="153"/>
      <c r="C1" s="153"/>
      <c r="D1" s="153"/>
      <c r="E1" s="153"/>
      <c r="F1" s="153"/>
      <c r="G1" s="153"/>
      <c r="H1" s="153"/>
    </row>
    <row r="2" spans="1:8" ht="15.75" customHeight="1">
      <c r="A2" s="170" t="str">
        <f>'biểu 1'!A6:I6</f>
        <v>(Kèm theo Quyết định số     1518  /QĐ-UBND ngày  27 tháng 4 năm 2015 của của UBND tỉnh Quảng Nam)</v>
      </c>
      <c r="B2" s="170"/>
      <c r="C2" s="170"/>
      <c r="D2" s="170"/>
      <c r="E2" s="170"/>
      <c r="F2" s="170"/>
      <c r="G2" s="170"/>
      <c r="H2" s="170"/>
    </row>
    <row r="3" spans="7:8" ht="16.5">
      <c r="G3" s="169" t="s">
        <v>114</v>
      </c>
      <c r="H3" s="169"/>
    </row>
    <row r="4" spans="1:11" ht="30.75">
      <c r="A4" s="11" t="s">
        <v>0</v>
      </c>
      <c r="B4" s="12" t="s">
        <v>49</v>
      </c>
      <c r="C4" s="12" t="s">
        <v>2</v>
      </c>
      <c r="D4" s="12" t="s">
        <v>3</v>
      </c>
      <c r="E4" s="12" t="s">
        <v>5</v>
      </c>
      <c r="F4" s="12" t="s">
        <v>50</v>
      </c>
      <c r="G4" s="12" t="s">
        <v>120</v>
      </c>
      <c r="H4" s="12" t="s">
        <v>121</v>
      </c>
      <c r="K4">
        <v>65.057</v>
      </c>
    </row>
    <row r="5" spans="1:11" ht="15">
      <c r="A5" s="11">
        <v>1</v>
      </c>
      <c r="B5" s="13" t="s">
        <v>51</v>
      </c>
      <c r="C5" s="60" t="s">
        <v>28</v>
      </c>
      <c r="D5" s="60">
        <v>1</v>
      </c>
      <c r="E5" s="42">
        <f>E6</f>
        <v>183.3445352977967</v>
      </c>
      <c r="F5" s="12"/>
      <c r="G5" s="16">
        <f>'biểu 1'!H10</f>
        <v>32378177.68126718</v>
      </c>
      <c r="H5" s="18">
        <f>G5*104.14</f>
        <v>3371863423.7271643</v>
      </c>
      <c r="J5" s="58">
        <f>J6+J7</f>
        <v>32378177.68126718</v>
      </c>
      <c r="K5">
        <f>J5*$K$4</f>
        <v>2106427105.410199</v>
      </c>
    </row>
    <row r="6" spans="1:11" ht="15">
      <c r="A6" s="64" t="s">
        <v>52</v>
      </c>
      <c r="B6" s="65" t="s">
        <v>16</v>
      </c>
      <c r="C6" s="66" t="s">
        <v>28</v>
      </c>
      <c r="D6" s="67">
        <v>1</v>
      </c>
      <c r="E6" s="68">
        <f>'biểu 1'!F12</f>
        <v>183.3445352977967</v>
      </c>
      <c r="F6" s="69"/>
      <c r="G6" s="70">
        <f>'biểu 1'!H12</f>
        <v>24814977.68126718</v>
      </c>
      <c r="H6" s="18">
        <f aca="true" t="shared" si="0" ref="H6:H19">G6*104.14</f>
        <v>2584231775.7271643</v>
      </c>
      <c r="I6" s="2"/>
      <c r="J6" s="2">
        <f>'biểu 1'!H12</f>
        <v>24814977.68126718</v>
      </c>
      <c r="K6">
        <f aca="true" t="shared" si="1" ref="K6:K18">J6*$K$4</f>
        <v>1614388003.010199</v>
      </c>
    </row>
    <row r="7" spans="1:11" ht="15">
      <c r="A7" s="71" t="s">
        <v>52</v>
      </c>
      <c r="B7" s="72" t="s">
        <v>17</v>
      </c>
      <c r="C7" s="44" t="s">
        <v>28</v>
      </c>
      <c r="D7" s="15">
        <v>1</v>
      </c>
      <c r="E7" s="17"/>
      <c r="F7" s="14"/>
      <c r="G7" s="73">
        <f>'biểu 1'!H20</f>
        <v>7563200</v>
      </c>
      <c r="H7" s="18">
        <f t="shared" si="0"/>
        <v>787631648</v>
      </c>
      <c r="J7" s="2">
        <f>'biểu 1'!H20</f>
        <v>7563200</v>
      </c>
      <c r="K7">
        <f t="shared" si="1"/>
        <v>492039102.40000004</v>
      </c>
    </row>
    <row r="8" spans="1:11" ht="15">
      <c r="A8" s="11">
        <v>2</v>
      </c>
      <c r="B8" s="13" t="s">
        <v>31</v>
      </c>
      <c r="C8" s="44" t="s">
        <v>28</v>
      </c>
      <c r="D8" s="15">
        <v>1</v>
      </c>
      <c r="E8" s="17"/>
      <c r="F8" s="45"/>
      <c r="G8" s="16">
        <f>G9+G12+G14+G16</f>
        <v>32941351.33041736</v>
      </c>
      <c r="H8" s="18">
        <f t="shared" si="0"/>
        <v>3430512327.549664</v>
      </c>
      <c r="I8" s="2"/>
      <c r="J8" s="58">
        <f>J9+J12+J14+J16</f>
        <v>32941351.33041736</v>
      </c>
      <c r="K8" s="59">
        <f t="shared" si="1"/>
        <v>2143065493.5029624</v>
      </c>
    </row>
    <row r="9" spans="1:11" ht="15">
      <c r="A9" s="11" t="s">
        <v>53</v>
      </c>
      <c r="B9" s="13" t="s">
        <v>96</v>
      </c>
      <c r="C9" s="44" t="s">
        <v>28</v>
      </c>
      <c r="D9" s="15">
        <v>1</v>
      </c>
      <c r="E9" s="48">
        <f>E10</f>
        <v>71.84813002733196</v>
      </c>
      <c r="F9" s="45"/>
      <c r="G9" s="16">
        <f>SUM(G10:G11)</f>
        <v>10427768.060237737</v>
      </c>
      <c r="H9" s="18">
        <f t="shared" si="0"/>
        <v>1085947765.793158</v>
      </c>
      <c r="I9" s="2"/>
      <c r="J9" s="58">
        <f>J10+J11</f>
        <v>10427768.060237737</v>
      </c>
      <c r="K9" s="59">
        <f t="shared" si="1"/>
        <v>678399306.6948864</v>
      </c>
    </row>
    <row r="10" spans="1:11" ht="15">
      <c r="A10" s="64" t="s">
        <v>52</v>
      </c>
      <c r="B10" s="65" t="s">
        <v>16</v>
      </c>
      <c r="C10" s="66" t="s">
        <v>28</v>
      </c>
      <c r="D10" s="67">
        <v>1</v>
      </c>
      <c r="E10" s="74">
        <f>'biểu 1'!F27</f>
        <v>71.84813002733196</v>
      </c>
      <c r="F10" s="69">
        <f>'biểu 1'!G27</f>
        <v>135346.15384615384</v>
      </c>
      <c r="G10" s="70">
        <f>E10*F10</f>
        <v>9724368.060237737</v>
      </c>
      <c r="H10" s="18">
        <f t="shared" si="0"/>
        <v>1012695689.7931579</v>
      </c>
      <c r="J10" s="2">
        <f>'biểu 1'!H27</f>
        <v>9724368.060237737</v>
      </c>
      <c r="K10">
        <f t="shared" si="1"/>
        <v>632638212.8948865</v>
      </c>
    </row>
    <row r="11" spans="1:11" ht="15">
      <c r="A11" s="71" t="s">
        <v>52</v>
      </c>
      <c r="B11" s="72" t="s">
        <v>17</v>
      </c>
      <c r="C11" s="44" t="s">
        <v>28</v>
      </c>
      <c r="D11" s="15">
        <v>1</v>
      </c>
      <c r="E11" s="17"/>
      <c r="F11" s="14"/>
      <c r="G11" s="73">
        <f>'biểu 1'!H36</f>
        <v>703400</v>
      </c>
      <c r="H11" s="18">
        <f t="shared" si="0"/>
        <v>73252076</v>
      </c>
      <c r="J11" s="2">
        <f>'biểu 1'!H36</f>
        <v>703400</v>
      </c>
      <c r="K11">
        <f t="shared" si="1"/>
        <v>45761093.800000004</v>
      </c>
    </row>
    <row r="12" spans="1:11" ht="15">
      <c r="A12" s="11" t="s">
        <v>54</v>
      </c>
      <c r="B12" s="13" t="s">
        <v>97</v>
      </c>
      <c r="C12" s="44" t="s">
        <v>28</v>
      </c>
      <c r="D12" s="15">
        <v>1</v>
      </c>
      <c r="E12" s="48">
        <f>E13</f>
        <v>62.1927083464524</v>
      </c>
      <c r="F12" s="14"/>
      <c r="G12" s="16">
        <f>SUM(G13:G13)</f>
        <v>8417543.871967923</v>
      </c>
      <c r="H12" s="18">
        <f t="shared" si="0"/>
        <v>876603018.8267395</v>
      </c>
      <c r="I12" s="2"/>
      <c r="J12" s="58">
        <f>J13</f>
        <v>8417543.871967923</v>
      </c>
      <c r="K12" s="59">
        <f t="shared" si="1"/>
        <v>547620151.6786171</v>
      </c>
    </row>
    <row r="13" spans="1:11" ht="15">
      <c r="A13" s="36" t="s">
        <v>52</v>
      </c>
      <c r="B13" s="37" t="s">
        <v>16</v>
      </c>
      <c r="C13" s="38" t="s">
        <v>28</v>
      </c>
      <c r="D13" s="39">
        <v>1</v>
      </c>
      <c r="E13" s="43">
        <f>'biểu 1'!F42</f>
        <v>62.1927083464524</v>
      </c>
      <c r="F13" s="40">
        <f>'biểu 1'!G42</f>
        <v>135346.15384615384</v>
      </c>
      <c r="G13" s="41">
        <f>E13*F13</f>
        <v>8417543.871967923</v>
      </c>
      <c r="H13" s="18">
        <f t="shared" si="0"/>
        <v>876603018.8267395</v>
      </c>
      <c r="J13" s="2">
        <f>'biểu 1'!H42</f>
        <v>8417543.871967923</v>
      </c>
      <c r="K13">
        <f t="shared" si="1"/>
        <v>547620151.6786171</v>
      </c>
    </row>
    <row r="14" spans="1:11" ht="15">
      <c r="A14" s="11" t="s">
        <v>55</v>
      </c>
      <c r="B14" s="13" t="s">
        <v>98</v>
      </c>
      <c r="C14" s="44" t="s">
        <v>28</v>
      </c>
      <c r="D14" s="15">
        <v>1</v>
      </c>
      <c r="E14" s="48">
        <f>E15</f>
        <v>61.14603574648493</v>
      </c>
      <c r="F14" s="45">
        <f>'biểu 1'!G48</f>
        <v>135346.15384615384</v>
      </c>
      <c r="G14" s="16">
        <f>E14*F14</f>
        <v>8275880.761226172</v>
      </c>
      <c r="H14" s="18">
        <f t="shared" si="0"/>
        <v>861850222.4740936</v>
      </c>
      <c r="I14" s="2"/>
      <c r="J14" s="58">
        <f>J15</f>
        <v>8275880.761226172</v>
      </c>
      <c r="K14" s="59">
        <f t="shared" si="1"/>
        <v>538403974.683091</v>
      </c>
    </row>
    <row r="15" spans="1:11" ht="15">
      <c r="A15" s="36" t="s">
        <v>52</v>
      </c>
      <c r="B15" s="37" t="s">
        <v>16</v>
      </c>
      <c r="C15" s="38" t="s">
        <v>28</v>
      </c>
      <c r="D15" s="39">
        <v>1</v>
      </c>
      <c r="E15" s="43">
        <f>'biểu 1'!F48</f>
        <v>61.14603574648493</v>
      </c>
      <c r="F15" s="40">
        <f>(2.56+0.5)*1150000/26</f>
        <v>135346.15384615384</v>
      </c>
      <c r="G15" s="41">
        <f>E15*F15</f>
        <v>8275880.761226172</v>
      </c>
      <c r="H15" s="18">
        <f t="shared" si="0"/>
        <v>861850222.4740936</v>
      </c>
      <c r="J15" s="2">
        <f>'biểu 1'!H48</f>
        <v>8275880.761226172</v>
      </c>
      <c r="K15">
        <f t="shared" si="1"/>
        <v>538403974.683091</v>
      </c>
    </row>
    <row r="16" spans="1:11" ht="15">
      <c r="A16" s="11" t="s">
        <v>56</v>
      </c>
      <c r="B16" s="13" t="s">
        <v>99</v>
      </c>
      <c r="C16" s="44" t="s">
        <v>28</v>
      </c>
      <c r="D16" s="15">
        <v>1</v>
      </c>
      <c r="E16" s="48">
        <f>E17</f>
        <v>43.00202459835856</v>
      </c>
      <c r="F16" s="45">
        <f>'biểu 1'!G54</f>
        <v>135346.15384615384</v>
      </c>
      <c r="G16" s="16">
        <f>'biểu 1'!H54</f>
        <v>5820158.636985529</v>
      </c>
      <c r="H16" s="18">
        <f t="shared" si="0"/>
        <v>606111320.455673</v>
      </c>
      <c r="I16" s="2"/>
      <c r="J16" s="58">
        <f>J17</f>
        <v>5820158.636985529</v>
      </c>
      <c r="K16" s="59">
        <f t="shared" si="1"/>
        <v>378642060.44636756</v>
      </c>
    </row>
    <row r="17" spans="1:11" ht="15">
      <c r="A17" s="36" t="s">
        <v>52</v>
      </c>
      <c r="B17" s="37" t="s">
        <v>16</v>
      </c>
      <c r="C17" s="38" t="s">
        <v>28</v>
      </c>
      <c r="D17" s="39">
        <v>1</v>
      </c>
      <c r="E17" s="43">
        <f>'biểu 1'!F54</f>
        <v>43.00202459835856</v>
      </c>
      <c r="F17" s="40">
        <f>(2.56+0.5)*1150000/26</f>
        <v>135346.15384615384</v>
      </c>
      <c r="G17" s="41">
        <f>'biểu 1'!H54</f>
        <v>5820158.636985529</v>
      </c>
      <c r="H17" s="18">
        <f t="shared" si="0"/>
        <v>606111320.455673</v>
      </c>
      <c r="J17" s="2">
        <f>'biểu 1'!H54</f>
        <v>5820158.636985529</v>
      </c>
      <c r="K17">
        <f t="shared" si="1"/>
        <v>378642060.44636756</v>
      </c>
    </row>
    <row r="18" spans="1:12" ht="15">
      <c r="A18" s="11" t="s">
        <v>9</v>
      </c>
      <c r="B18" s="13" t="s">
        <v>88</v>
      </c>
      <c r="C18" s="46"/>
      <c r="D18" s="47"/>
      <c r="E18" s="48">
        <v>36.4</v>
      </c>
      <c r="F18" s="45">
        <f>F17</f>
        <v>135346.15384615384</v>
      </c>
      <c r="G18" s="16">
        <f>E18*F18</f>
        <v>4926600</v>
      </c>
      <c r="H18" s="18">
        <f t="shared" si="0"/>
        <v>513056124</v>
      </c>
      <c r="J18" s="58" t="e">
        <f>#REF!</f>
        <v>#REF!</v>
      </c>
      <c r="K18" s="59" t="e">
        <f t="shared" si="1"/>
        <v>#REF!</v>
      </c>
      <c r="L18" s="89">
        <f>H18/5</f>
        <v>102611224.8</v>
      </c>
    </row>
    <row r="19" spans="1:11" ht="15">
      <c r="A19" s="11" t="s">
        <v>29</v>
      </c>
      <c r="B19" s="13" t="s">
        <v>58</v>
      </c>
      <c r="C19" s="14"/>
      <c r="D19" s="15"/>
      <c r="E19" s="17"/>
      <c r="F19" s="14"/>
      <c r="G19" s="16">
        <f>G5+G8+G18</f>
        <v>70246129.01168454</v>
      </c>
      <c r="H19" s="18">
        <f t="shared" si="0"/>
        <v>7315431875.276828</v>
      </c>
      <c r="I19" s="2">
        <f>H19-'biểu 1'!I60</f>
        <v>0</v>
      </c>
      <c r="J19" s="58" t="e">
        <f>J5+J8+J18</f>
        <v>#REF!</v>
      </c>
      <c r="K19" s="58" t="e">
        <f>K5+K8+K18</f>
        <v>#REF!</v>
      </c>
    </row>
    <row r="20" spans="1:8" ht="15">
      <c r="A20" s="90" t="s">
        <v>41</v>
      </c>
      <c r="B20" s="101" t="s">
        <v>115</v>
      </c>
      <c r="C20" s="19"/>
      <c r="D20" s="19"/>
      <c r="E20" s="19"/>
      <c r="F20" s="19"/>
      <c r="G20" s="102"/>
      <c r="H20" s="103">
        <f>H19*5%</f>
        <v>365771593.7638414</v>
      </c>
    </row>
    <row r="21" spans="1:11" ht="15">
      <c r="A21" s="90" t="s">
        <v>42</v>
      </c>
      <c r="B21" s="101" t="s">
        <v>116</v>
      </c>
      <c r="C21" s="19"/>
      <c r="D21" s="19"/>
      <c r="E21" s="19"/>
      <c r="F21" s="19"/>
      <c r="G21" s="20"/>
      <c r="H21" s="103">
        <f>(H19+H20)*5.5%</f>
        <v>422466190.7972368</v>
      </c>
      <c r="K21">
        <f>G18/5</f>
        <v>985320</v>
      </c>
    </row>
    <row r="22" spans="1:8" ht="15">
      <c r="A22" s="96" t="s">
        <v>75</v>
      </c>
      <c r="B22" s="101" t="s">
        <v>117</v>
      </c>
      <c r="C22" s="19"/>
      <c r="D22" s="19"/>
      <c r="E22" s="19"/>
      <c r="F22" s="19"/>
      <c r="G22" s="102"/>
      <c r="H22" s="21">
        <f>(H19+H20+H21)*5%</f>
        <v>405183482.9918953</v>
      </c>
    </row>
    <row r="23" spans="1:10" ht="15">
      <c r="A23" s="96" t="s">
        <v>76</v>
      </c>
      <c r="B23" s="101" t="s">
        <v>118</v>
      </c>
      <c r="C23" s="19"/>
      <c r="D23" s="19"/>
      <c r="E23" s="19"/>
      <c r="F23" s="19"/>
      <c r="G23" s="20"/>
      <c r="H23" s="21">
        <f>(H19+H20+H21+H22)*2.125%</f>
        <v>180813129.2851333</v>
      </c>
      <c r="J23" s="2">
        <f>H19-'biểu 3 (2)'!M23</f>
        <v>0</v>
      </c>
    </row>
    <row r="24" spans="1:11" ht="15">
      <c r="A24" s="96" t="s">
        <v>77</v>
      </c>
      <c r="B24" s="101" t="s">
        <v>119</v>
      </c>
      <c r="C24" s="19"/>
      <c r="D24" s="19"/>
      <c r="E24" s="19"/>
      <c r="F24" s="19"/>
      <c r="G24" s="20"/>
      <c r="H24" s="21">
        <f>(H19+H20+H21+H22)*7.875%</f>
        <v>670072184.9978468</v>
      </c>
      <c r="J24" s="2">
        <f>H19-'biểu 1'!I60</f>
        <v>0</v>
      </c>
      <c r="K24">
        <v>7.875</v>
      </c>
    </row>
    <row r="25" spans="1:11" ht="15">
      <c r="A25" s="141" t="s">
        <v>52</v>
      </c>
      <c r="B25" s="142" t="s">
        <v>125</v>
      </c>
      <c r="C25" s="22"/>
      <c r="D25" s="22"/>
      <c r="E25" s="22"/>
      <c r="F25" s="22"/>
      <c r="G25" s="107"/>
      <c r="H25" s="98">
        <f>H19*0.423%</f>
        <v>30944276.832420982</v>
      </c>
      <c r="J25" s="2"/>
      <c r="K25">
        <v>4.28</v>
      </c>
    </row>
    <row r="26" spans="1:10" ht="15">
      <c r="A26" s="143" t="s">
        <v>52</v>
      </c>
      <c r="B26" s="144" t="s">
        <v>126</v>
      </c>
      <c r="C26" s="108"/>
      <c r="D26" s="108"/>
      <c r="E26" s="108"/>
      <c r="F26" s="108"/>
      <c r="G26" s="109"/>
      <c r="H26" s="110">
        <f>H19*0.063%</f>
        <v>4608722.081424402</v>
      </c>
      <c r="J26" s="2"/>
    </row>
    <row r="27" spans="1:10" ht="15">
      <c r="A27" s="143" t="s">
        <v>52</v>
      </c>
      <c r="B27" s="145" t="s">
        <v>127</v>
      </c>
      <c r="C27" s="108"/>
      <c r="D27" s="108"/>
      <c r="E27" s="108"/>
      <c r="F27" s="108"/>
      <c r="G27" s="109"/>
      <c r="H27" s="110">
        <f>H24-H25-H26</f>
        <v>634519186.0840015</v>
      </c>
      <c r="J27" s="2"/>
    </row>
    <row r="28" spans="1:8" ht="15">
      <c r="A28" s="96" t="s">
        <v>78</v>
      </c>
      <c r="B28" s="101" t="s">
        <v>106</v>
      </c>
      <c r="C28" s="19"/>
      <c r="D28" s="19"/>
      <c r="E28" s="19"/>
      <c r="F28" s="19"/>
      <c r="G28" s="20"/>
      <c r="H28" s="21">
        <f>H29+H30</f>
        <v>1093322392.2406304</v>
      </c>
    </row>
    <row r="29" spans="1:9" ht="15">
      <c r="A29" s="97" t="s">
        <v>52</v>
      </c>
      <c r="B29" s="104" t="s">
        <v>90</v>
      </c>
      <c r="C29" s="22"/>
      <c r="D29" s="22"/>
      <c r="E29" s="22"/>
      <c r="F29" s="22"/>
      <c r="G29" s="22"/>
      <c r="H29" s="98">
        <f>(H19+H20+H21)*5%</f>
        <v>405183482.9918953</v>
      </c>
      <c r="I29" s="2">
        <f>H29-'biểu 3 (2)'!M30</f>
        <v>0</v>
      </c>
    </row>
    <row r="30" spans="1:8" ht="15">
      <c r="A30" s="99" t="s">
        <v>52</v>
      </c>
      <c r="B30" s="105" t="s">
        <v>91</v>
      </c>
      <c r="C30" s="106"/>
      <c r="D30" s="106"/>
      <c r="E30" s="106"/>
      <c r="F30" s="106"/>
      <c r="G30" s="106"/>
      <c r="H30" s="100">
        <f>'biểu 3 (2)'!M31</f>
        <v>688138909.2487351</v>
      </c>
    </row>
    <row r="31" spans="1:9" ht="15">
      <c r="A31" s="167" t="s">
        <v>57</v>
      </c>
      <c r="B31" s="168"/>
      <c r="C31" s="19"/>
      <c r="D31" s="19"/>
      <c r="E31" s="19"/>
      <c r="F31" s="19"/>
      <c r="G31" s="20"/>
      <c r="H31" s="21">
        <f>SUM(H19+H20+H21+H22+H23+H24+H28)</f>
        <v>10453060849.353413</v>
      </c>
      <c r="I31" s="2">
        <f>H31-'biểu 3 (2)'!M32</f>
        <v>0</v>
      </c>
    </row>
    <row r="32" ht="15">
      <c r="A32" s="62" t="s">
        <v>122</v>
      </c>
    </row>
    <row r="33" ht="15">
      <c r="B33" s="62" t="s">
        <v>123</v>
      </c>
    </row>
    <row r="34" ht="15">
      <c r="B34" s="62" t="s">
        <v>124</v>
      </c>
    </row>
  </sheetData>
  <sheetProtection/>
  <mergeCells count="4">
    <mergeCell ref="A31:B31"/>
    <mergeCell ref="A1:H1"/>
    <mergeCell ref="G3:H3"/>
    <mergeCell ref="A2:H2"/>
  </mergeCells>
  <printOptions/>
  <pageMargins left="0.56" right="0.29" top="0.77" bottom="0" header="0.29" footer="0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7">
      <selection activeCell="Q7" sqref="Q7"/>
    </sheetView>
  </sheetViews>
  <sheetFormatPr defaultColWidth="9.140625" defaultRowHeight="15"/>
  <cols>
    <col min="1" max="1" width="2.8515625" style="0" customWidth="1"/>
    <col min="2" max="2" width="17.57421875" style="0" customWidth="1"/>
    <col min="3" max="5" width="10.7109375" style="0" customWidth="1"/>
    <col min="6" max="6" width="11.28125" style="0" customWidth="1"/>
    <col min="7" max="7" width="9.8515625" style="0" customWidth="1"/>
    <col min="8" max="8" width="9.57421875" style="0" customWidth="1"/>
    <col min="9" max="10" width="9.421875" style="0" customWidth="1"/>
    <col min="11" max="11" width="9.7109375" style="0" customWidth="1"/>
    <col min="12" max="12" width="9.421875" style="0" customWidth="1"/>
    <col min="13" max="13" width="12.00390625" style="0" customWidth="1"/>
    <col min="14" max="14" width="0" style="0" hidden="1" customWidth="1"/>
    <col min="15" max="15" width="12.7109375" style="0" hidden="1" customWidth="1"/>
    <col min="16" max="16" width="10.00390625" style="0" hidden="1" customWidth="1"/>
  </cols>
  <sheetData>
    <row r="1" spans="1:13" ht="34.5" customHeight="1">
      <c r="A1" s="152" t="s">
        <v>130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3" ht="17.25" customHeight="1">
      <c r="A2" s="171" t="str">
        <f>'biểu 2'!A2:H2</f>
        <v>(Kèm theo Quyết định số     1518  /QĐ-UBND ngày  27 tháng 4 năm 2015 của của UBND tỉnh Quảng Nam)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2:13" ht="14.25">
      <c r="L3" s="157" t="s">
        <v>80</v>
      </c>
      <c r="M3" s="157"/>
    </row>
    <row r="4" spans="1:13" s="59" customFormat="1" ht="14.25">
      <c r="A4" s="111" t="s">
        <v>0</v>
      </c>
      <c r="B4" s="111" t="s">
        <v>61</v>
      </c>
      <c r="C4" s="112">
        <v>2015</v>
      </c>
      <c r="D4" s="112">
        <v>2016</v>
      </c>
      <c r="E4" s="112">
        <v>2017</v>
      </c>
      <c r="F4" s="112">
        <v>2018</v>
      </c>
      <c r="G4" s="112">
        <v>2019</v>
      </c>
      <c r="H4" s="112">
        <v>2020</v>
      </c>
      <c r="I4" s="112">
        <v>2021</v>
      </c>
      <c r="J4" s="112">
        <v>2022</v>
      </c>
      <c r="K4" s="112">
        <v>2023</v>
      </c>
      <c r="L4" s="112">
        <v>2024</v>
      </c>
      <c r="M4" s="112" t="s">
        <v>60</v>
      </c>
    </row>
    <row r="5" spans="1:13" s="59" customFormat="1" ht="14.25">
      <c r="A5" s="111" t="s">
        <v>74</v>
      </c>
      <c r="B5" s="113" t="s">
        <v>59</v>
      </c>
      <c r="C5" s="114">
        <v>0</v>
      </c>
      <c r="D5" s="114">
        <v>1</v>
      </c>
      <c r="E5" s="114">
        <v>2</v>
      </c>
      <c r="F5" s="114">
        <v>3</v>
      </c>
      <c r="G5" s="114">
        <v>4</v>
      </c>
      <c r="H5" s="114">
        <v>5</v>
      </c>
      <c r="I5" s="114">
        <v>6</v>
      </c>
      <c r="J5" s="114">
        <v>7</v>
      </c>
      <c r="K5" s="114">
        <v>8</v>
      </c>
      <c r="L5" s="114">
        <v>9</v>
      </c>
      <c r="M5" s="115"/>
    </row>
    <row r="6" spans="1:17" ht="14.25">
      <c r="A6" s="116"/>
      <c r="B6" s="117" t="s">
        <v>94</v>
      </c>
      <c r="C6" s="75">
        <v>0.05</v>
      </c>
      <c r="D6" s="76"/>
      <c r="E6" s="76"/>
      <c r="F6" s="76"/>
      <c r="G6" s="76"/>
      <c r="H6" s="76"/>
      <c r="I6" s="76"/>
      <c r="J6" s="76"/>
      <c r="K6" s="76"/>
      <c r="L6" s="76"/>
      <c r="M6" s="77"/>
      <c r="Q6" s="137"/>
    </row>
    <row r="7" spans="1:13" ht="14.25">
      <c r="A7" s="116"/>
      <c r="B7" s="118" t="s">
        <v>93</v>
      </c>
      <c r="C7" s="75">
        <v>0.05</v>
      </c>
      <c r="D7" s="76"/>
      <c r="E7" s="76"/>
      <c r="F7" s="76"/>
      <c r="G7" s="76"/>
      <c r="H7" s="76"/>
      <c r="I7" s="76"/>
      <c r="J7" s="76"/>
      <c r="K7" s="76"/>
      <c r="L7" s="76"/>
      <c r="M7" s="77"/>
    </row>
    <row r="8" spans="1:13" ht="14.25">
      <c r="A8" s="111"/>
      <c r="B8" s="111" t="s">
        <v>105</v>
      </c>
      <c r="C8" s="112">
        <f>(1+$C$8)^C5</f>
        <v>1</v>
      </c>
      <c r="D8" s="119">
        <f aca="true" t="shared" si="0" ref="D8:L8">(1+$C$7)^D5</f>
        <v>1.05</v>
      </c>
      <c r="E8" s="119">
        <f t="shared" si="0"/>
        <v>1.1025</v>
      </c>
      <c r="F8" s="119">
        <f t="shared" si="0"/>
        <v>1.1576250000000001</v>
      </c>
      <c r="G8" s="119">
        <f t="shared" si="0"/>
        <v>1.21550625</v>
      </c>
      <c r="H8" s="119">
        <f t="shared" si="0"/>
        <v>1.2762815625000001</v>
      </c>
      <c r="I8" s="119">
        <f t="shared" si="0"/>
        <v>1.340095640625</v>
      </c>
      <c r="J8" s="119">
        <f t="shared" si="0"/>
        <v>1.4071004226562502</v>
      </c>
      <c r="K8" s="119">
        <f t="shared" si="0"/>
        <v>1.4774554437890626</v>
      </c>
      <c r="L8" s="119">
        <f t="shared" si="0"/>
        <v>1.5513282159785158</v>
      </c>
      <c r="M8" s="112"/>
    </row>
    <row r="9" spans="1:13" s="59" customFormat="1" ht="14.25">
      <c r="A9" s="120" t="s">
        <v>9</v>
      </c>
      <c r="B9" s="121" t="s">
        <v>62</v>
      </c>
      <c r="C9" s="78">
        <f>C10+C11</f>
        <v>787631648</v>
      </c>
      <c r="D9" s="78">
        <f>D10+D11</f>
        <v>73252076</v>
      </c>
      <c r="E9" s="78"/>
      <c r="F9" s="78"/>
      <c r="G9" s="78"/>
      <c r="H9" s="78"/>
      <c r="I9" s="78"/>
      <c r="J9" s="78"/>
      <c r="K9" s="78"/>
      <c r="L9" s="78"/>
      <c r="M9" s="78">
        <f>C9+D9</f>
        <v>860883724</v>
      </c>
    </row>
    <row r="10" spans="1:13" ht="14.25">
      <c r="A10" s="122">
        <v>1</v>
      </c>
      <c r="B10" s="123" t="s">
        <v>18</v>
      </c>
      <c r="C10" s="79">
        <f>'biểu 1'!I21</f>
        <v>593722968</v>
      </c>
      <c r="D10" s="79">
        <f>'biểu 1'!I37</f>
        <v>53861208</v>
      </c>
      <c r="E10" s="79"/>
      <c r="F10" s="79"/>
      <c r="G10" s="79"/>
      <c r="H10" s="79"/>
      <c r="I10" s="79"/>
      <c r="J10" s="79"/>
      <c r="K10" s="79"/>
      <c r="L10" s="79"/>
      <c r="M10" s="79">
        <f>C10+D10</f>
        <v>647584176</v>
      </c>
    </row>
    <row r="11" spans="1:13" ht="14.25">
      <c r="A11" s="122">
        <v>2</v>
      </c>
      <c r="B11" s="123" t="s">
        <v>63</v>
      </c>
      <c r="C11" s="79">
        <f>'biểu 1'!I24</f>
        <v>193908680</v>
      </c>
      <c r="D11" s="79">
        <f>'biểu 1'!I40</f>
        <v>19390868</v>
      </c>
      <c r="E11" s="79"/>
      <c r="F11" s="79"/>
      <c r="G11" s="79"/>
      <c r="H11" s="79"/>
      <c r="I11" s="79"/>
      <c r="J11" s="79"/>
      <c r="K11" s="79"/>
      <c r="L11" s="79"/>
      <c r="M11" s="79">
        <f>C11+D11</f>
        <v>213299548</v>
      </c>
    </row>
    <row r="12" spans="1:13" s="59" customFormat="1" ht="14.25">
      <c r="A12" s="124" t="s">
        <v>29</v>
      </c>
      <c r="B12" s="125" t="s">
        <v>16</v>
      </c>
      <c r="C12" s="80">
        <f>C13</f>
        <v>2584231775.7271643</v>
      </c>
      <c r="D12" s="80">
        <f>D14</f>
        <v>1012695689.7931579</v>
      </c>
      <c r="E12" s="80">
        <f>E15</f>
        <v>876603018.8267395</v>
      </c>
      <c r="F12" s="80">
        <f>F16</f>
        <v>861850222.4740936</v>
      </c>
      <c r="G12" s="80">
        <f>G17</f>
        <v>606111320.455673</v>
      </c>
      <c r="H12" s="80">
        <f>H18</f>
        <v>102611224.8</v>
      </c>
      <c r="I12" s="80">
        <f>I19</f>
        <v>102611224.8</v>
      </c>
      <c r="J12" s="80">
        <f>J20</f>
        <v>102611224.8</v>
      </c>
      <c r="K12" s="80">
        <f>K21</f>
        <v>102611224.8</v>
      </c>
      <c r="L12" s="80">
        <f>L22</f>
        <v>102611224.8</v>
      </c>
      <c r="M12" s="80">
        <f aca="true" t="shared" si="1" ref="M12:M28">C12+D12+E12+F12+G12+H12+I12+J12+K12+L12</f>
        <v>6454548151.27683</v>
      </c>
    </row>
    <row r="13" spans="1:15" ht="14.25">
      <c r="A13" s="126">
        <v>1</v>
      </c>
      <c r="B13" s="123" t="s">
        <v>87</v>
      </c>
      <c r="C13" s="79">
        <f>'biểu 2'!H6</f>
        <v>2584231775.7271643</v>
      </c>
      <c r="D13" s="79"/>
      <c r="E13" s="79"/>
      <c r="F13" s="79"/>
      <c r="G13" s="79"/>
      <c r="H13" s="79"/>
      <c r="I13" s="79"/>
      <c r="J13" s="79"/>
      <c r="K13" s="79"/>
      <c r="L13" s="79"/>
      <c r="M13" s="79">
        <f t="shared" si="1"/>
        <v>2584231775.7271643</v>
      </c>
      <c r="O13" s="2">
        <f>M12+M9</f>
        <v>7315431875.27683</v>
      </c>
    </row>
    <row r="14" spans="1:13" ht="14.25">
      <c r="A14" s="126">
        <v>2</v>
      </c>
      <c r="B14" s="123" t="s">
        <v>64</v>
      </c>
      <c r="C14" s="79"/>
      <c r="D14" s="79">
        <f>'biểu 2'!H10</f>
        <v>1012695689.7931579</v>
      </c>
      <c r="E14" s="79"/>
      <c r="F14" s="79"/>
      <c r="G14" s="79"/>
      <c r="H14" s="79"/>
      <c r="I14" s="79"/>
      <c r="J14" s="79"/>
      <c r="K14" s="79"/>
      <c r="L14" s="79"/>
      <c r="M14" s="79">
        <f t="shared" si="1"/>
        <v>1012695689.7931579</v>
      </c>
    </row>
    <row r="15" spans="1:13" ht="14.25">
      <c r="A15" s="126">
        <v>3</v>
      </c>
      <c r="B15" s="123" t="s">
        <v>65</v>
      </c>
      <c r="C15" s="79"/>
      <c r="D15" s="79"/>
      <c r="E15" s="79">
        <f>'biểu 2'!H13</f>
        <v>876603018.8267395</v>
      </c>
      <c r="F15" s="79"/>
      <c r="G15" s="79"/>
      <c r="H15" s="79"/>
      <c r="I15" s="79"/>
      <c r="J15" s="79"/>
      <c r="K15" s="79"/>
      <c r="L15" s="79"/>
      <c r="M15" s="79">
        <f t="shared" si="1"/>
        <v>876603018.8267395</v>
      </c>
    </row>
    <row r="16" spans="1:13" ht="14.25">
      <c r="A16" s="126">
        <v>4</v>
      </c>
      <c r="B16" s="123" t="s">
        <v>66</v>
      </c>
      <c r="C16" s="79"/>
      <c r="D16" s="79"/>
      <c r="E16" s="79"/>
      <c r="F16" s="79">
        <f>'biểu 2'!H15</f>
        <v>861850222.4740936</v>
      </c>
      <c r="G16" s="79"/>
      <c r="H16" s="79"/>
      <c r="I16" s="79"/>
      <c r="J16" s="79"/>
      <c r="K16" s="79"/>
      <c r="L16" s="79"/>
      <c r="M16" s="79">
        <f t="shared" si="1"/>
        <v>861850222.4740936</v>
      </c>
    </row>
    <row r="17" spans="1:13" ht="14.25">
      <c r="A17" s="126">
        <v>5</v>
      </c>
      <c r="B17" s="123" t="s">
        <v>67</v>
      </c>
      <c r="C17" s="79"/>
      <c r="D17" s="79"/>
      <c r="E17" s="79"/>
      <c r="F17" s="79"/>
      <c r="G17" s="79">
        <f>'biểu 2'!H17</f>
        <v>606111320.455673</v>
      </c>
      <c r="H17" s="79"/>
      <c r="I17" s="79"/>
      <c r="J17" s="79"/>
      <c r="K17" s="79"/>
      <c r="L17" s="79"/>
      <c r="M17" s="79">
        <f t="shared" si="1"/>
        <v>606111320.455673</v>
      </c>
    </row>
    <row r="18" spans="1:13" ht="14.25">
      <c r="A18" s="126">
        <v>6</v>
      </c>
      <c r="B18" s="123" t="s">
        <v>68</v>
      </c>
      <c r="C18" s="79"/>
      <c r="D18" s="79"/>
      <c r="E18" s="79"/>
      <c r="F18" s="79"/>
      <c r="G18" s="79"/>
      <c r="H18" s="79">
        <f>'biểu 1'!I59</f>
        <v>102611224.8</v>
      </c>
      <c r="I18" s="79"/>
      <c r="J18" s="79"/>
      <c r="K18" s="79"/>
      <c r="L18" s="79"/>
      <c r="M18" s="79">
        <f t="shared" si="1"/>
        <v>102611224.8</v>
      </c>
    </row>
    <row r="19" spans="1:13" ht="14.25">
      <c r="A19" s="126">
        <v>7</v>
      </c>
      <c r="B19" s="123" t="s">
        <v>69</v>
      </c>
      <c r="C19" s="79"/>
      <c r="D19" s="79"/>
      <c r="E19" s="79"/>
      <c r="F19" s="79"/>
      <c r="G19" s="79"/>
      <c r="H19" s="79"/>
      <c r="I19" s="79">
        <f>H18</f>
        <v>102611224.8</v>
      </c>
      <c r="J19" s="79"/>
      <c r="K19" s="79"/>
      <c r="L19" s="79"/>
      <c r="M19" s="79">
        <f t="shared" si="1"/>
        <v>102611224.8</v>
      </c>
    </row>
    <row r="20" spans="1:13" ht="14.25">
      <c r="A20" s="126">
        <v>8</v>
      </c>
      <c r="B20" s="123" t="s">
        <v>70</v>
      </c>
      <c r="C20" s="79"/>
      <c r="D20" s="79"/>
      <c r="E20" s="79"/>
      <c r="F20" s="79"/>
      <c r="G20" s="79"/>
      <c r="H20" s="79"/>
      <c r="I20" s="79"/>
      <c r="J20" s="79">
        <f>H18</f>
        <v>102611224.8</v>
      </c>
      <c r="K20" s="79"/>
      <c r="L20" s="79"/>
      <c r="M20" s="79">
        <f t="shared" si="1"/>
        <v>102611224.8</v>
      </c>
    </row>
    <row r="21" spans="1:13" ht="14.25">
      <c r="A21" s="126">
        <v>9</v>
      </c>
      <c r="B21" s="123" t="s">
        <v>71</v>
      </c>
      <c r="C21" s="79"/>
      <c r="D21" s="79"/>
      <c r="E21" s="79"/>
      <c r="F21" s="79"/>
      <c r="G21" s="79"/>
      <c r="H21" s="79"/>
      <c r="I21" s="79"/>
      <c r="J21" s="79"/>
      <c r="K21" s="79">
        <f>H18</f>
        <v>102611224.8</v>
      </c>
      <c r="L21" s="79"/>
      <c r="M21" s="79">
        <f t="shared" si="1"/>
        <v>102611224.8</v>
      </c>
    </row>
    <row r="22" spans="1:13" ht="14.25">
      <c r="A22" s="127">
        <v>10</v>
      </c>
      <c r="B22" s="128" t="s">
        <v>72</v>
      </c>
      <c r="C22" s="81"/>
      <c r="D22" s="81"/>
      <c r="E22" s="81"/>
      <c r="F22" s="81"/>
      <c r="G22" s="81"/>
      <c r="H22" s="81"/>
      <c r="I22" s="81"/>
      <c r="J22" s="81"/>
      <c r="K22" s="81"/>
      <c r="L22" s="81">
        <f>H18</f>
        <v>102611224.8</v>
      </c>
      <c r="M22" s="81">
        <f t="shared" si="1"/>
        <v>102611224.8</v>
      </c>
    </row>
    <row r="23" spans="1:15" s="59" customFormat="1" ht="14.25">
      <c r="A23" s="112" t="s">
        <v>41</v>
      </c>
      <c r="B23" s="115" t="s">
        <v>73</v>
      </c>
      <c r="C23" s="82">
        <f>C9+C13</f>
        <v>3371863423.7271643</v>
      </c>
      <c r="D23" s="82">
        <f>D9+D14</f>
        <v>1085947765.793158</v>
      </c>
      <c r="E23" s="82">
        <f>E15</f>
        <v>876603018.8267395</v>
      </c>
      <c r="F23" s="82">
        <f>F16</f>
        <v>861850222.4740936</v>
      </c>
      <c r="G23" s="82">
        <f>G17</f>
        <v>606111320.455673</v>
      </c>
      <c r="H23" s="82">
        <f>H18</f>
        <v>102611224.8</v>
      </c>
      <c r="I23" s="82">
        <f>I19</f>
        <v>102611224.8</v>
      </c>
      <c r="J23" s="82">
        <f>J20</f>
        <v>102611224.8</v>
      </c>
      <c r="K23" s="82">
        <f>K21</f>
        <v>102611224.8</v>
      </c>
      <c r="L23" s="82">
        <f>L22</f>
        <v>102611224.8</v>
      </c>
      <c r="M23" s="82">
        <f t="shared" si="1"/>
        <v>7315431875.27683</v>
      </c>
      <c r="O23" s="58">
        <f>M23-'biểu 2'!H19</f>
        <v>0</v>
      </c>
    </row>
    <row r="24" spans="1:15" s="59" customFormat="1" ht="21">
      <c r="A24" s="129" t="s">
        <v>42</v>
      </c>
      <c r="B24" s="130" t="s">
        <v>82</v>
      </c>
      <c r="C24" s="83">
        <f aca="true" t="shared" si="2" ref="C24:L24">C23*5%</f>
        <v>168593171.1863582</v>
      </c>
      <c r="D24" s="83">
        <f t="shared" si="2"/>
        <v>54297388.289657906</v>
      </c>
      <c r="E24" s="83">
        <f t="shared" si="2"/>
        <v>43830150.94133698</v>
      </c>
      <c r="F24" s="83">
        <f t="shared" si="2"/>
        <v>43092511.12370468</v>
      </c>
      <c r="G24" s="83">
        <f t="shared" si="2"/>
        <v>30305566.022783652</v>
      </c>
      <c r="H24" s="83">
        <f t="shared" si="2"/>
        <v>5130561.24</v>
      </c>
      <c r="I24" s="83">
        <f t="shared" si="2"/>
        <v>5130561.24</v>
      </c>
      <c r="J24" s="83">
        <f t="shared" si="2"/>
        <v>5130561.24</v>
      </c>
      <c r="K24" s="83">
        <f t="shared" si="2"/>
        <v>5130561.24</v>
      </c>
      <c r="L24" s="83">
        <f t="shared" si="2"/>
        <v>5130561.24</v>
      </c>
      <c r="M24" s="83">
        <f t="shared" si="1"/>
        <v>365771593.76384145</v>
      </c>
      <c r="O24" s="59">
        <f>M23*5%</f>
        <v>365771593.7638415</v>
      </c>
    </row>
    <row r="25" spans="1:15" s="59" customFormat="1" ht="21" customHeight="1">
      <c r="A25" s="129" t="s">
        <v>75</v>
      </c>
      <c r="B25" s="130" t="s">
        <v>86</v>
      </c>
      <c r="C25" s="83">
        <f aca="true" t="shared" si="3" ref="C25:L25">5.5%*(C23+C24)</f>
        <v>194725112.72024375</v>
      </c>
      <c r="D25" s="83">
        <f t="shared" si="3"/>
        <v>62713483.474554874</v>
      </c>
      <c r="E25" s="83">
        <f t="shared" si="3"/>
        <v>50623824.33724421</v>
      </c>
      <c r="F25" s="83">
        <f t="shared" si="3"/>
        <v>49771850.3478789</v>
      </c>
      <c r="G25" s="83">
        <f t="shared" si="3"/>
        <v>35002928.75631511</v>
      </c>
      <c r="H25" s="83">
        <f t="shared" si="3"/>
        <v>5925798.2321999995</v>
      </c>
      <c r="I25" s="83">
        <f t="shared" si="3"/>
        <v>5925798.2321999995</v>
      </c>
      <c r="J25" s="83">
        <f t="shared" si="3"/>
        <v>5925798.2321999995</v>
      </c>
      <c r="K25" s="83">
        <f t="shared" si="3"/>
        <v>5925798.2321999995</v>
      </c>
      <c r="L25" s="83">
        <f t="shared" si="3"/>
        <v>5925798.2321999995</v>
      </c>
      <c r="M25" s="83">
        <f t="shared" si="1"/>
        <v>422466190.79723704</v>
      </c>
      <c r="O25" s="59">
        <f>(M23+M24)*5.5%</f>
        <v>422466190.7972369</v>
      </c>
    </row>
    <row r="26" spans="1:15" s="59" customFormat="1" ht="21">
      <c r="A26" s="129" t="s">
        <v>76</v>
      </c>
      <c r="B26" s="130" t="s">
        <v>83</v>
      </c>
      <c r="C26" s="83">
        <f aca="true" t="shared" si="4" ref="C26:L26">5%*(C23+C24+C25)</f>
        <v>186759085.38168836</v>
      </c>
      <c r="D26" s="83">
        <f t="shared" si="4"/>
        <v>60147931.87786853</v>
      </c>
      <c r="E26" s="83">
        <f t="shared" si="4"/>
        <v>48552849.705266036</v>
      </c>
      <c r="F26" s="83">
        <f t="shared" si="4"/>
        <v>47735729.197283864</v>
      </c>
      <c r="G26" s="83">
        <f t="shared" si="4"/>
        <v>33570990.76173859</v>
      </c>
      <c r="H26" s="83">
        <f t="shared" si="4"/>
        <v>5683379.21361</v>
      </c>
      <c r="I26" s="83">
        <f t="shared" si="4"/>
        <v>5683379.21361</v>
      </c>
      <c r="J26" s="83">
        <f t="shared" si="4"/>
        <v>5683379.21361</v>
      </c>
      <c r="K26" s="83">
        <f t="shared" si="4"/>
        <v>5683379.21361</v>
      </c>
      <c r="L26" s="83">
        <f t="shared" si="4"/>
        <v>5683379.21361</v>
      </c>
      <c r="M26" s="83">
        <f t="shared" si="1"/>
        <v>405183482.9918954</v>
      </c>
      <c r="O26" s="59">
        <f>(M23+M24+M25)*5%</f>
        <v>405183482.99189544</v>
      </c>
    </row>
    <row r="27" spans="1:15" s="59" customFormat="1" ht="24.75" customHeight="1">
      <c r="A27" s="129" t="s">
        <v>77</v>
      </c>
      <c r="B27" s="130" t="s">
        <v>84</v>
      </c>
      <c r="C27" s="83">
        <f aca="true" t="shared" si="5" ref="C27:L27">2.125%*(C23+C24+C25+C26)</f>
        <v>83341241.85157843</v>
      </c>
      <c r="D27" s="83">
        <f t="shared" si="5"/>
        <v>26841014.600498836</v>
      </c>
      <c r="E27" s="83">
        <f t="shared" si="5"/>
        <v>21666709.180974968</v>
      </c>
      <c r="F27" s="83">
        <f t="shared" si="5"/>
        <v>21302069.154287923</v>
      </c>
      <c r="G27" s="83">
        <f t="shared" si="5"/>
        <v>14981054.627425844</v>
      </c>
      <c r="H27" s="83">
        <f t="shared" si="5"/>
        <v>2536207.974073462</v>
      </c>
      <c r="I27" s="83">
        <f t="shared" si="5"/>
        <v>2536207.974073462</v>
      </c>
      <c r="J27" s="83">
        <f t="shared" si="5"/>
        <v>2536207.974073462</v>
      </c>
      <c r="K27" s="83">
        <f t="shared" si="5"/>
        <v>2536207.974073462</v>
      </c>
      <c r="L27" s="83">
        <f t="shared" si="5"/>
        <v>2536207.974073462</v>
      </c>
      <c r="M27" s="83">
        <f t="shared" si="1"/>
        <v>180813129.28513336</v>
      </c>
      <c r="N27" s="58">
        <f>M27-'biểu 2'!H23</f>
        <v>0</v>
      </c>
      <c r="O27" s="59">
        <f>(M23+M24+M25+M26)*2.125%</f>
        <v>180813129.28513336</v>
      </c>
    </row>
    <row r="28" spans="1:15" s="59" customFormat="1" ht="23.25" customHeight="1">
      <c r="A28" s="129" t="s">
        <v>78</v>
      </c>
      <c r="B28" s="130" t="s">
        <v>85</v>
      </c>
      <c r="C28" s="83">
        <f aca="true" t="shared" si="6" ref="C28:L28">7.875%*(C23+C24+C25+C26)</f>
        <v>308852837.4499671</v>
      </c>
      <c r="D28" s="83">
        <f t="shared" si="6"/>
        <v>99469642.3430251</v>
      </c>
      <c r="E28" s="83">
        <f t="shared" si="6"/>
        <v>80294275.2000837</v>
      </c>
      <c r="F28" s="83">
        <f t="shared" si="6"/>
        <v>78942962.16000818</v>
      </c>
      <c r="G28" s="83">
        <f t="shared" si="6"/>
        <v>55518025.97222518</v>
      </c>
      <c r="H28" s="83">
        <f t="shared" si="6"/>
        <v>9398888.374507535</v>
      </c>
      <c r="I28" s="83">
        <f t="shared" si="6"/>
        <v>9398888.374507535</v>
      </c>
      <c r="J28" s="83">
        <f t="shared" si="6"/>
        <v>9398888.374507535</v>
      </c>
      <c r="K28" s="83">
        <f t="shared" si="6"/>
        <v>9398888.374507535</v>
      </c>
      <c r="L28" s="83">
        <f t="shared" si="6"/>
        <v>9398888.374507535</v>
      </c>
      <c r="M28" s="83">
        <f t="shared" si="1"/>
        <v>670072184.997847</v>
      </c>
      <c r="N28" s="58">
        <f>M28-'biểu 2'!H24</f>
        <v>0</v>
      </c>
      <c r="O28" s="59">
        <f>(M23+M24+M25+M26)*7.875%</f>
        <v>670072184.9978471</v>
      </c>
    </row>
    <row r="29" spans="1:15" s="59" customFormat="1" ht="18.75" customHeight="1">
      <c r="A29" s="129" t="s">
        <v>79</v>
      </c>
      <c r="B29" s="131" t="s">
        <v>89</v>
      </c>
      <c r="C29" s="83">
        <f aca="true" t="shared" si="7" ref="C29:L29">C30+C31</f>
        <v>186759085.38168836</v>
      </c>
      <c r="D29" s="83">
        <f t="shared" si="7"/>
        <v>120295863.75573713</v>
      </c>
      <c r="E29" s="83">
        <f t="shared" si="7"/>
        <v>148086191.60106143</v>
      </c>
      <c r="F29" s="83">
        <f t="shared" si="7"/>
        <v>198222615.49172133</v>
      </c>
      <c r="G29" s="83">
        <f t="shared" si="7"/>
        <v>178266157.31867713</v>
      </c>
      <c r="H29" s="83">
        <f t="shared" si="7"/>
        <v>37087637.00193385</v>
      </c>
      <c r="I29" s="83">
        <f t="shared" si="7"/>
        <v>44341229.104960024</v>
      </c>
      <c r="J29" s="83">
        <f t="shared" si="7"/>
        <v>51957500.81313756</v>
      </c>
      <c r="K29" s="83">
        <f t="shared" si="7"/>
        <v>59954586.10672391</v>
      </c>
      <c r="L29" s="83">
        <f t="shared" si="7"/>
        <v>68351525.66498962</v>
      </c>
      <c r="M29" s="83">
        <f>SUM(C29:L29)</f>
        <v>1093322392.2406301</v>
      </c>
      <c r="O29" s="59">
        <f>M29/M23*100</f>
        <v>14.945425107923061</v>
      </c>
    </row>
    <row r="30" spans="1:15" ht="18" customHeight="1">
      <c r="A30" s="132"/>
      <c r="B30" s="133" t="s">
        <v>90</v>
      </c>
      <c r="C30" s="84">
        <f aca="true" t="shared" si="8" ref="C30:L30">(C23+C24+C25)*$C$6</f>
        <v>186759085.38168836</v>
      </c>
      <c r="D30" s="84">
        <f t="shared" si="8"/>
        <v>60147931.87786853</v>
      </c>
      <c r="E30" s="84">
        <f t="shared" si="8"/>
        <v>48552849.705266036</v>
      </c>
      <c r="F30" s="84">
        <f t="shared" si="8"/>
        <v>47735729.197283864</v>
      </c>
      <c r="G30" s="84">
        <f t="shared" si="8"/>
        <v>33570990.76173859</v>
      </c>
      <c r="H30" s="84">
        <f t="shared" si="8"/>
        <v>5683379.21361</v>
      </c>
      <c r="I30" s="84">
        <f t="shared" si="8"/>
        <v>5683379.21361</v>
      </c>
      <c r="J30" s="84">
        <f t="shared" si="8"/>
        <v>5683379.21361</v>
      </c>
      <c r="K30" s="84">
        <f t="shared" si="8"/>
        <v>5683379.21361</v>
      </c>
      <c r="L30" s="84">
        <f t="shared" si="8"/>
        <v>5683379.21361</v>
      </c>
      <c r="M30" s="84">
        <f>SUM(C30:L30)</f>
        <v>405183482.9918954</v>
      </c>
      <c r="O30" s="2">
        <f>D23+D24+D25+D26</f>
        <v>1263106569.4352393</v>
      </c>
    </row>
    <row r="31" spans="1:15" ht="18.75" customHeight="1">
      <c r="A31" s="132"/>
      <c r="B31" s="133" t="s">
        <v>91</v>
      </c>
      <c r="C31" s="84">
        <v>0</v>
      </c>
      <c r="D31" s="84">
        <f aca="true" t="shared" si="9" ref="D31:L31">(D23+D24+D25)*(D8-1)</f>
        <v>60147931.877868585</v>
      </c>
      <c r="E31" s="84">
        <f t="shared" si="9"/>
        <v>99533341.8957954</v>
      </c>
      <c r="F31" s="84">
        <f t="shared" si="9"/>
        <v>150486886.29443747</v>
      </c>
      <c r="G31" s="84">
        <f t="shared" si="9"/>
        <v>144695166.55693853</v>
      </c>
      <c r="H31" s="84">
        <f t="shared" si="9"/>
        <v>31404257.788323853</v>
      </c>
      <c r="I31" s="84">
        <f t="shared" si="9"/>
        <v>38657849.89135002</v>
      </c>
      <c r="J31" s="84">
        <f t="shared" si="9"/>
        <v>46274121.59952756</v>
      </c>
      <c r="K31" s="84">
        <f t="shared" si="9"/>
        <v>54271206.89311391</v>
      </c>
      <c r="L31" s="84">
        <f t="shared" si="9"/>
        <v>62668146.45137962</v>
      </c>
      <c r="M31" s="84">
        <f>SUM(C31:L31)</f>
        <v>688138909.2487351</v>
      </c>
      <c r="O31" s="87">
        <f>D8-1</f>
        <v>0.050000000000000044</v>
      </c>
    </row>
    <row r="32" spans="1:16" s="59" customFormat="1" ht="19.5" customHeight="1">
      <c r="A32" s="129"/>
      <c r="B32" s="131" t="s">
        <v>57</v>
      </c>
      <c r="C32" s="83">
        <f aca="true" t="shared" si="10" ref="C32:L32">C23+C24+C25+C26+C27+C28+C29</f>
        <v>4500893957.6986885</v>
      </c>
      <c r="D32" s="83">
        <f t="shared" si="10"/>
        <v>1509713090.1345005</v>
      </c>
      <c r="E32" s="83">
        <f t="shared" si="10"/>
        <v>1269657019.7927067</v>
      </c>
      <c r="F32" s="83">
        <f t="shared" si="10"/>
        <v>1300917959.9489784</v>
      </c>
      <c r="G32" s="83">
        <f t="shared" si="10"/>
        <v>953756043.9148383</v>
      </c>
      <c r="H32" s="83">
        <f t="shared" si="10"/>
        <v>168373696.83632484</v>
      </c>
      <c r="I32" s="83">
        <f t="shared" si="10"/>
        <v>175627288.93935102</v>
      </c>
      <c r="J32" s="83">
        <f t="shared" si="10"/>
        <v>183243560.64752853</v>
      </c>
      <c r="K32" s="83">
        <f t="shared" si="10"/>
        <v>191240645.9411149</v>
      </c>
      <c r="L32" s="83">
        <f t="shared" si="10"/>
        <v>199637585.4993806</v>
      </c>
      <c r="M32" s="83">
        <f>SUM(C32:L32)</f>
        <v>10453060849.353409</v>
      </c>
      <c r="O32" s="59">
        <f>O30*O31</f>
        <v>63155328.471762024</v>
      </c>
      <c r="P32" s="59">
        <f>O30*5%</f>
        <v>63155328.47176197</v>
      </c>
    </row>
  </sheetData>
  <sheetProtection/>
  <mergeCells count="3">
    <mergeCell ref="L3:M3"/>
    <mergeCell ref="A1:M1"/>
    <mergeCell ref="A2:M2"/>
  </mergeCells>
  <printOptions/>
  <pageMargins left="0.35" right="0" top="0.49" bottom="0" header="0.23" footer="0"/>
  <pageSetup horizontalDpi="600" verticalDpi="600" orientation="landscape" r:id="rId1"/>
  <headerFooter alignWithMargins="0"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Phone : 0972.979.767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QuocThai-ITQuangNam</dc:creator>
  <cp:keywords/>
  <dc:description/>
  <cp:lastModifiedBy>Admin</cp:lastModifiedBy>
  <cp:lastPrinted>2015-04-27T03:17:05Z</cp:lastPrinted>
  <dcterms:created xsi:type="dcterms:W3CDTF">2014-07-04T01:29:41Z</dcterms:created>
  <dcterms:modified xsi:type="dcterms:W3CDTF">2015-04-27T08:55:41Z</dcterms:modified>
  <cp:category/>
  <cp:version/>
  <cp:contentType/>
  <cp:contentStatus/>
</cp:coreProperties>
</file>