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12" windowWidth="9720" windowHeight="6096" activeTab="0"/>
  </bookViews>
  <sheets>
    <sheet name="THC" sheetId="1" r:id="rId1"/>
    <sheet name="HC" sheetId="2" r:id="rId2"/>
    <sheet name="GD" sheetId="3" r:id="rId3"/>
    <sheet name="ĐT" sheetId="4" r:id="rId4"/>
    <sheet name="YT" sheetId="5" r:id="rId5"/>
    <sheet name="KHCN" sheetId="6" r:id="rId6"/>
    <sheet name="VH,TT,TPTH" sheetId="7" r:id="rId7"/>
    <sheet name="XH" sheetId="8" r:id="rId8"/>
    <sheet name="KT" sheetId="9" r:id="rId9"/>
    <sheet name="MT" sheetId="10" r:id="rId10"/>
    <sheet name="Các Hội" sheetId="11" r:id="rId11"/>
  </sheets>
  <definedNames>
    <definedName name="_xlnm.Print_Titles" localSheetId="10">'Các Hội'!$4:$6</definedName>
    <definedName name="_xlnm.Print_Titles" localSheetId="3">'ĐT'!$A:$B,'ĐT'!$4:$5</definedName>
    <definedName name="_xlnm.Print_Titles" localSheetId="2">'GD'!$B:$B</definedName>
    <definedName name="_xlnm.Print_Titles" localSheetId="1">'HC'!$3:$5</definedName>
    <definedName name="_xlnm.Print_Titles" localSheetId="8">'KT'!$3:$5</definedName>
    <definedName name="_xlnm.Print_Titles" localSheetId="9">'MT'!$4:$6</definedName>
    <definedName name="_xlnm.Print_Titles" localSheetId="0">'THC'!$5:$6</definedName>
    <definedName name="_xlnm.Print_Titles" localSheetId="6">'VH,TT,TPTH'!$B:$B,'VH,TT,TPTH'!$5:$7</definedName>
    <definedName name="_xlnm.Print_Titles" localSheetId="7">'XH'!$A:$B</definedName>
  </definedNames>
  <calcPr fullCalcOnLoad="1"/>
</workbook>
</file>

<file path=xl/sharedStrings.xml><?xml version="1.0" encoding="utf-8"?>
<sst xmlns="http://schemas.openxmlformats.org/spreadsheetml/2006/main" count="491" uniqueCount="279">
  <si>
    <t>Hoạt động HĐND</t>
  </si>
  <si>
    <t xml:space="preserve">Chi hoạt động </t>
  </si>
  <si>
    <t xml:space="preserve"> - Hợp đồng BVR</t>
  </si>
  <si>
    <t>Các khoản chi thường xuyên năm 2015 gồm</t>
  </si>
  <si>
    <t>Các khoản trừ</t>
  </si>
  <si>
    <t>Tổng các khoản trừ</t>
  </si>
  <si>
    <t>Quỹ tiền lương</t>
  </si>
  <si>
    <t xml:space="preserve">TTPT nguồn NLCLC </t>
  </si>
  <si>
    <t xml:space="preserve">Tỉnh đoàn </t>
  </si>
  <si>
    <t xml:space="preserve"> - TC nghề TN DT</t>
  </si>
  <si>
    <t xml:space="preserve"> - TC nghề Nam QN</t>
  </si>
  <si>
    <t xml:space="preserve"> - TC nghề Bắc QN</t>
  </si>
  <si>
    <t xml:space="preserve"> - Trường NV TDTT</t>
  </si>
  <si>
    <t xml:space="preserve"> - Trường TC VHNT</t>
  </si>
  <si>
    <t>Tổng dự toán ngân sách phân bổ năm 2015</t>
  </si>
  <si>
    <t>Tăg, giảm</t>
  </si>
  <si>
    <t>VP Sở LĐTB&amp;XH</t>
  </si>
  <si>
    <t>Liên minh HTX - TTDN</t>
  </si>
  <si>
    <t xml:space="preserve"> - Đường sông</t>
  </si>
  <si>
    <t>Ban XT ĐT&amp;HTDN</t>
  </si>
  <si>
    <t>TT</t>
  </si>
  <si>
    <t>Đơn vị</t>
  </si>
  <si>
    <t>Tổng cộng</t>
  </si>
  <si>
    <t>Ban Dân tộc</t>
  </si>
  <si>
    <t>Sở Nội vụ</t>
  </si>
  <si>
    <t>Sở Xây dựng</t>
  </si>
  <si>
    <t>Thanh tra tỉnh</t>
  </si>
  <si>
    <t>Sở Ngoại vụ</t>
  </si>
  <si>
    <t>Trường Cao đẳng y tế</t>
  </si>
  <si>
    <t>ĐVT: triệu đồng</t>
  </si>
  <si>
    <t>Sở Tư pháp</t>
  </si>
  <si>
    <t>Sở Công thương</t>
  </si>
  <si>
    <t>Trường Đại học Quảng Nam</t>
  </si>
  <si>
    <t xml:space="preserve"> Sở LĐTB&amp;XH</t>
  </si>
  <si>
    <t>Trong đó</t>
  </si>
  <si>
    <t>VP Sở NN và PTNT</t>
  </si>
  <si>
    <t>Sở Tài chính</t>
  </si>
  <si>
    <t>VP Sở TN và MT</t>
  </si>
  <si>
    <t>Văn phòng Sở Y tế</t>
  </si>
  <si>
    <t>VP Tỉnh đoàn</t>
  </si>
  <si>
    <t>VP Sở KH&amp;CN</t>
  </si>
  <si>
    <t>Hội Nông dân</t>
  </si>
  <si>
    <t>Hội cựu chiến binh</t>
  </si>
  <si>
    <t>Ban Tôn giáo</t>
  </si>
  <si>
    <t>Ban thi đua KT</t>
  </si>
  <si>
    <t>Thanh tra giao thông</t>
  </si>
  <si>
    <t>Thanh tra xây dựng</t>
  </si>
  <si>
    <t>CC PC tệ nạn XH</t>
  </si>
  <si>
    <t>Chi cục DS-KHHGĐ</t>
  </si>
  <si>
    <t>Chi cục VSATTP</t>
  </si>
  <si>
    <t>Chi cục BVMT</t>
  </si>
  <si>
    <t>Chi cục TC-ĐL-CL</t>
  </si>
  <si>
    <t xml:space="preserve"> - Trung tâm KC &amp; TVCN</t>
  </si>
  <si>
    <t>Sở Giao thông vận tải</t>
  </si>
  <si>
    <t>Văn Phòng UBND tỉnh</t>
  </si>
  <si>
    <t xml:space="preserve"> - Trung tâm Hội nghị</t>
  </si>
  <si>
    <t xml:space="preserve"> - VP Đăng ký QSD đất</t>
  </si>
  <si>
    <t xml:space="preserve"> - TT Phát triển quỹ đất</t>
  </si>
  <si>
    <t>Sở NN và PTNT</t>
  </si>
  <si>
    <t xml:space="preserve"> - Trung tâm văn hóa</t>
  </si>
  <si>
    <t xml:space="preserve"> - Đoàn Bóng đá</t>
  </si>
  <si>
    <t xml:space="preserve"> - Trung tâm TDTT</t>
  </si>
  <si>
    <t xml:space="preserve"> - Tạp chí văn hóa</t>
  </si>
  <si>
    <t xml:space="preserve"> - TT Thông tin XT DL</t>
  </si>
  <si>
    <t>Ban Quản lý các KCN</t>
  </si>
  <si>
    <t xml:space="preserve"> - TT quản lý cổng TTĐT</t>
  </si>
  <si>
    <t xml:space="preserve"> - TT kiểm định CT</t>
  </si>
  <si>
    <t xml:space="preserve"> - TT bồi thường GPMB</t>
  </si>
  <si>
    <t xml:space="preserve">TT Giới thiệu việc làm </t>
  </si>
  <si>
    <t>TT GD lao động xã hội</t>
  </si>
  <si>
    <t xml:space="preserve">TT ND, ĐD NCC </t>
  </si>
  <si>
    <t xml:space="preserve">TT ĐD người tâm thần </t>
  </si>
  <si>
    <t>TT ND trẻ MC sơ sinh</t>
  </si>
  <si>
    <t>TT ND Trẻ MC và TT</t>
  </si>
  <si>
    <t>Hội Tù yêu nước</t>
  </si>
  <si>
    <t xml:space="preserve"> - Nghiệp vụ ngành</t>
  </si>
  <si>
    <t>Chi hoạt động TX</t>
  </si>
  <si>
    <t>STT</t>
  </si>
  <si>
    <t>Đơn vị, Ngành</t>
  </si>
  <si>
    <t>Chi Cục lưu trữ</t>
  </si>
  <si>
    <t>VP HĐND tỉnh</t>
  </si>
  <si>
    <t>MS, SC</t>
  </si>
  <si>
    <t>VP UBND tỉnh</t>
  </si>
  <si>
    <t>Sở KH và Đầu tư</t>
  </si>
  <si>
    <t>VP Sở Nội vụ</t>
  </si>
  <si>
    <t>Ban PC lụt bão tỉnh</t>
  </si>
  <si>
    <t xml:space="preserve"> - TT TK Năng lượng</t>
  </si>
  <si>
    <t>Chi hoạt động đặc thù</t>
  </si>
  <si>
    <t xml:space="preserve"> - Các Đội QLTT</t>
  </si>
  <si>
    <t>Sở LĐTB&amp;XH</t>
  </si>
  <si>
    <t xml:space="preserve"> Sở Y tế</t>
  </si>
  <si>
    <t>Tỉnh đoàn</t>
  </si>
  <si>
    <t>Hỗ trợ các Trung tâm</t>
  </si>
  <si>
    <t>TT CT XH TE</t>
  </si>
  <si>
    <t>H/động QL Quỹ BTTE</t>
  </si>
  <si>
    <t>Ban QL Khu KTM Chu Lai</t>
  </si>
  <si>
    <t>Đoàn Đại biểu Quốc hội</t>
  </si>
  <si>
    <t>Sở Y tế</t>
  </si>
  <si>
    <t>Hội Nhà báo</t>
  </si>
  <si>
    <t>Hội Đông y</t>
  </si>
  <si>
    <t>Hội Luật gia</t>
  </si>
  <si>
    <t>Hội Làm vườn</t>
  </si>
  <si>
    <t>Hội Chữ thập đỏ</t>
  </si>
  <si>
    <t>Sở Kế hoạch và Đầu tư</t>
  </si>
  <si>
    <t>TT Xã hội Quảng Nam</t>
  </si>
  <si>
    <t>Sở VH, TT và DL</t>
  </si>
  <si>
    <t xml:space="preserve"> - VP CC QLTT</t>
  </si>
  <si>
    <t>Làng Hòa bình</t>
  </si>
  <si>
    <t>Ban ĐD người cao tuổi</t>
  </si>
  <si>
    <t>Chi cục Biển và Hải đảo</t>
  </si>
  <si>
    <t>Khác, TE, CT, chung</t>
  </si>
  <si>
    <t xml:space="preserve"> - Hoạt động PT chung</t>
  </si>
  <si>
    <t>Hội Người mù</t>
  </si>
  <si>
    <t>Hoạt động theo định mức</t>
  </si>
  <si>
    <t>Chi hoạt động</t>
  </si>
  <si>
    <t xml:space="preserve"> - VP Sở</t>
  </si>
  <si>
    <t xml:space="preserve"> Trường Cao đẳng nghề</t>
  </si>
  <si>
    <t xml:space="preserve">Trường Chính trị </t>
  </si>
  <si>
    <t>Hội Người khuyết tật</t>
  </si>
  <si>
    <t>Đặc thù</t>
  </si>
  <si>
    <t>Hoạt động TT UBND</t>
  </si>
  <si>
    <t>Trừ TK 10% chi TX tăng thêm  (QL trên NS)</t>
  </si>
  <si>
    <t>Trừ QL khoản TK 10% chi TX</t>
  </si>
  <si>
    <t>Trừ TK 10% chi TX tăng thêm (QL trên NS)</t>
  </si>
  <si>
    <t>Chế độ HS, SV</t>
  </si>
  <si>
    <t>Chi hoạt động PT SN</t>
  </si>
  <si>
    <t>Trừ TK 10% chi TX tăng thêm (QL NS)</t>
  </si>
  <si>
    <t xml:space="preserve"> - Nhiệm vụ KH-CN</t>
  </si>
  <si>
    <t>Liên minh HTX</t>
  </si>
  <si>
    <t>Sở Nội vụ (Chi cục LT)</t>
  </si>
  <si>
    <t>Ban QLPTĐTM ĐN-ĐN</t>
  </si>
  <si>
    <t>Ban xúc tiến ĐT&amp;HTDN</t>
  </si>
  <si>
    <t>Trường Cao đẳng KT-KT</t>
  </si>
  <si>
    <t>Sở Nông nghiệp và PTNT</t>
  </si>
  <si>
    <t>Sở Tài nguyên và MT</t>
  </si>
  <si>
    <t>Ban QLĐT mới ĐN-ĐN</t>
  </si>
  <si>
    <t>Ban QL các Khu CN</t>
  </si>
  <si>
    <t>Văn phòng Tỉnh ủy</t>
  </si>
  <si>
    <t>Văn phòng UBND tỉnh</t>
  </si>
  <si>
    <t>Trụ Sở Tiếp công dân</t>
  </si>
  <si>
    <t>Ban QL các KCN</t>
  </si>
  <si>
    <t>Sở VH, TT &amp; DL</t>
  </si>
  <si>
    <t>Chi cục đất đai</t>
  </si>
  <si>
    <t>Hợp đồng QL, BVR</t>
  </si>
  <si>
    <t>Trừ khoản TK 10% chi TX để chi (1,15)</t>
  </si>
  <si>
    <t>MS, SC, thuê trụ sở</t>
  </si>
  <si>
    <t>Chi TX (tăng BC)</t>
  </si>
  <si>
    <t>Trừ TK 10% tăng thêm  (QL tại NS)</t>
  </si>
  <si>
    <t>Chi TX (tăng 10% so 2014)</t>
  </si>
  <si>
    <t>Bằng 2014</t>
  </si>
  <si>
    <t>Tăng, giảm</t>
  </si>
  <si>
    <t>Chi hoạt động (10%)</t>
  </si>
  <si>
    <t>Chi hoạt động (tăng BC)</t>
  </si>
  <si>
    <t>Chi hoạt động TX (tăng 10%)</t>
  </si>
  <si>
    <t>Chi hoạt động (tăng chỉ tiêu BC)</t>
  </si>
  <si>
    <t>MS, SC, thuê nhà</t>
  </si>
  <si>
    <t>Hoạt động sự nghiệp</t>
  </si>
  <si>
    <t>Chi hoạt động (tăng biên chế)</t>
  </si>
  <si>
    <t>Trừ  10% chi TX tăng thêm (QL trên NS)</t>
  </si>
  <si>
    <t>Trừ  10% chi tăng thêm (QL trên NS)</t>
  </si>
  <si>
    <t>Tăng chỉ tiêu  biên chế</t>
  </si>
  <si>
    <t>Tăng biên chế</t>
  </si>
  <si>
    <t>TTPT nguồn NLCLC</t>
  </si>
  <si>
    <t>Trường Cao đẳng nghề</t>
  </si>
  <si>
    <t>Ban QL Khu CN</t>
  </si>
  <si>
    <t>Sở LĐTB và Xã hội</t>
  </si>
  <si>
    <t>Sở Giáo dục và Đào tạo</t>
  </si>
  <si>
    <t>VP đại diện tại Hà Nội</t>
  </si>
  <si>
    <t>Hội Khuyến học</t>
  </si>
  <si>
    <t>II. Sở Tư pháp</t>
  </si>
  <si>
    <t xml:space="preserve"> - Ban chỉ đạo ĐA DN LĐ NT</t>
  </si>
  <si>
    <t>Hỗ trợ khác (PL đính kèm)</t>
  </si>
  <si>
    <t xml:space="preserve">Trừ TK 10% chi TX tăng thêm </t>
  </si>
  <si>
    <t xml:space="preserve"> - TT QL DT và D.thắng</t>
  </si>
  <si>
    <t xml:space="preserve"> - Đoàn Ca kịch</t>
  </si>
  <si>
    <t xml:space="preserve"> - Bảo tàng tỉnh</t>
  </si>
  <si>
    <t xml:space="preserve"> - Thư viện tỉnh</t>
  </si>
  <si>
    <t xml:space="preserve"> - Nghiệp vụ</t>
  </si>
  <si>
    <t>Trừ TK 10% chi TX tăng thêm</t>
  </si>
  <si>
    <t>Ghi chú</t>
  </si>
  <si>
    <t>I. Sự nghiệp văn hóa</t>
  </si>
  <si>
    <r>
      <t xml:space="preserve">Tỉnh đoàn </t>
    </r>
    <r>
      <rPr>
        <sz val="10"/>
        <rFont val="Times New Roman"/>
        <family val="1"/>
      </rPr>
      <t>(Tổng Đội TNXP)</t>
    </r>
  </si>
  <si>
    <t xml:space="preserve"> - Phòng Công chứng số 2 </t>
  </si>
  <si>
    <t xml:space="preserve"> - TT Bán đấu giá tài sản  </t>
  </si>
  <si>
    <t>Các Chi cục</t>
  </si>
  <si>
    <t>Trừ thuê trụ sở 320 triệu đồng</t>
  </si>
  <si>
    <t>Đã trừ đặt hàng</t>
  </si>
  <si>
    <t>Tổng ngân sách phân bổ chi thường xuyên năm 2015 (A)</t>
  </si>
  <si>
    <t>Tổng dự toán ngân sách phân bổ chi hoạt động thường xuyên năm 2015 (A)</t>
  </si>
  <si>
    <t>TT Sâm Ngọc Linh (Sở Y tế)</t>
  </si>
  <si>
    <t xml:space="preserve"> - An toàn giao thông và Ban TTGT</t>
  </si>
  <si>
    <t>Trong đó, Ban TTGT: 900tr/12*8*0,1 = 60 tr</t>
  </si>
  <si>
    <t xml:space="preserve"> -thuê đường truyền: 120tr</t>
  </si>
  <si>
    <t>Ban Chỉ huy PCTT&amp;TKCN</t>
  </si>
  <si>
    <t xml:space="preserve"> - Nghiệp vụ ngành (1)</t>
  </si>
  <si>
    <t>Ghi chú: Chi tiết đính kèm 10 phụ lục</t>
  </si>
  <si>
    <t>Quản lý Hành chính (1)</t>
  </si>
  <si>
    <t>Chi khác (10)</t>
  </si>
  <si>
    <t>8 THÁNG CUỐI NĂM 2015 - CÁC CƠ QUAN HÀNH CHÍNH, ĐẢNG, ĐOÀN THỂ, ĐƠN VỊ KHỐI TỈNH</t>
  </si>
  <si>
    <t>SN GD và ĐT (2, 3)</t>
  </si>
  <si>
    <t>SN y tế, và dân số (4)</t>
  </si>
  <si>
    <t>SN K/học, công nghệ (5)</t>
  </si>
  <si>
    <t>VHTT, TDTT, PTTH (6)</t>
  </si>
  <si>
    <t>NS đảm bảo XH và trẻ em (7)</t>
  </si>
  <si>
    <t>SN kinh tế (8)</t>
  </si>
  <si>
    <t>SN môi trường (9)</t>
  </si>
  <si>
    <t>Đã loại trừ phụ cấp của đại biểu: 326 tr</t>
  </si>
  <si>
    <t>Đã loại trừ thuê trụ sở 105 triệu đồng</t>
  </si>
  <si>
    <t>Đã loại trừ thuê trụ sở 319 triệu đồng</t>
  </si>
  <si>
    <t>Đã loại trừ thuê trụ sở 60 triệu đồng</t>
  </si>
  <si>
    <t>Đã loại trừ thuê trụ sở 150 triệu đồng</t>
  </si>
  <si>
    <t>Đã loại trừ đặt hàng chính sách dân tộc: 300 tr</t>
  </si>
  <si>
    <t>Đã loại trừ thêm Lương CB chuyên trách</t>
  </si>
  <si>
    <t>Đã loại trừ 1.960 trđ HĐ tuyên truyền</t>
  </si>
  <si>
    <t>Đã loại trừ thuê trụ sở 160 triệu đồng</t>
  </si>
  <si>
    <t>Đã loại trừ đặt hàng 1.145 tr, hỗ trợ lương: 210tr</t>
  </si>
  <si>
    <t>Đã loại trừ 2.750 trđ thuê VINA SAT 1</t>
  </si>
  <si>
    <t>Đã loại trừ thăm tết, chúc thọ: 2.480tr, PC và lương HĐ: 565tr</t>
  </si>
  <si>
    <t>Đã loại trừ thuê trụ sở 30 triệu đồng</t>
  </si>
  <si>
    <t xml:space="preserve"> (1) Đã loại trừ: Đối ứng DA: 5tỷ; đo đạt: 1,72tỷ; DA bản đồ: 1,14tỷ, XDCB: 660tr</t>
  </si>
  <si>
    <t xml:space="preserve"> (1) Đã loại trừ: 10 tỷ xử lý rác; HĐ tuyên truyền: 449tr, đối ứng biến đổi khí hậu: 254 tr; XDCB: 830 tr</t>
  </si>
  <si>
    <t>Đã loại trừ thuê trụ sở 42 triệu đồng</t>
  </si>
  <si>
    <t>Đã loại trừ thuê trụ sở 72 triệu đồng</t>
  </si>
  <si>
    <t>Chưa gồm nguồn đào tạo tạm giữ lại 10%: 37 triệu đồng</t>
  </si>
  <si>
    <t>Văn phòng ĐĐBQH&amp;HĐND tỉnh</t>
  </si>
  <si>
    <t>Sở Koa học và Công nghệ</t>
  </si>
  <si>
    <t>Sở Văn hóa, Thể thao &amp; Du lịch</t>
  </si>
  <si>
    <t>UBMT Tổ Quốc Việt Nam tỉnh</t>
  </si>
  <si>
    <t>Sở Thông tin và Truyền thông</t>
  </si>
  <si>
    <t>Hội Liên hiệp Phụ nữ</t>
  </si>
  <si>
    <t>VP đại diện Quảng Nam tại Hà Nội</t>
  </si>
  <si>
    <t>Trường Cao đẳng Y tế</t>
  </si>
  <si>
    <t>Đài Phát thanh - Truyền hình</t>
  </si>
  <si>
    <t xml:space="preserve">Ban Vì sự tiến bộ của PN </t>
  </si>
  <si>
    <t>Đoàn Khối các cơ quan, 
khôi doanh nghiệp</t>
  </si>
  <si>
    <t>Sở Công Thương</t>
  </si>
  <si>
    <t>Sở Tài nguyên và Môi trường</t>
  </si>
  <si>
    <t>VP Sở Giao thông vận tải</t>
  </si>
  <si>
    <t>Sở Khoa học và Công nghệ</t>
  </si>
  <si>
    <t>Văn phòng Sở Xây dựng</t>
  </si>
  <si>
    <t>Sở Giáo dục &amp; Đào tạo</t>
  </si>
  <si>
    <t>BQL Khu KTM Chu Lai</t>
  </si>
  <si>
    <t>BQL phát triển đô thị mới ĐN-ĐN</t>
  </si>
  <si>
    <t>Hội Cựu chiến binh</t>
  </si>
  <si>
    <t>Sở KH và ĐT (Trung tâm)</t>
  </si>
  <si>
    <t xml:space="preserve"> - Trung tâm ƯD và TT KH-CN </t>
  </si>
  <si>
    <t xml:space="preserve"> - Trung tâm KT-TC ĐLCL</t>
  </si>
  <si>
    <t>Sở Khoa học và công nghệ</t>
  </si>
  <si>
    <t xml:space="preserve"> VÀ PHÁT THANH - TRUYỀN HÌNH</t>
  </si>
  <si>
    <t>III. Đài Phát thanh và Truyền hình</t>
  </si>
  <si>
    <r>
      <t xml:space="preserve">II. Sở Văn hóa, Thể thao và Du lịch </t>
    </r>
    <r>
      <rPr>
        <sz val="11"/>
        <rFont val="Times New Roman"/>
        <family val="1"/>
      </rPr>
      <t>(SN thể thao)</t>
    </r>
  </si>
  <si>
    <t>Sở Văn hóa, Thể thao và Du lịch</t>
  </si>
  <si>
    <t>I. Sở Lao động, Thương binh 
và XH</t>
  </si>
  <si>
    <t xml:space="preserve"> - Các đơn vị sự nghiệp </t>
  </si>
  <si>
    <t xml:space="preserve"> - Trung tâm Tin học Công báo</t>
  </si>
  <si>
    <t xml:space="preserve"> - Trung tâm Thông tin TN&amp;MT</t>
  </si>
  <si>
    <t xml:space="preserve"> - Nghiệp vụ  (1)</t>
  </si>
  <si>
    <t>Ban QL khu  KT mở Chu Lai</t>
  </si>
  <si>
    <t>Hội nạn nhân Chất độcda cam</t>
  </si>
  <si>
    <t>Hội Văn học Nghệ thuật</t>
  </si>
  <si>
    <t>Hội Cựu Thanh niên xung phong</t>
  </si>
  <si>
    <t>LH các Tổ chức hữu nghị</t>
  </si>
  <si>
    <t>Hội Bảo trợ Bệnh nhân nghèo</t>
  </si>
  <si>
    <t>Hội Từ thiện</t>
  </si>
  <si>
    <t>Liên hiệp các Hội KH -KT</t>
  </si>
  <si>
    <t xml:space="preserve">Phụ lục tổng hợp
SỐ TẠM GIỮ 10% DỰ TOÁN CHI THƯỜNG  XUYÊN </t>
  </si>
  <si>
    <t>Tổng dự toán tạm giữ tại 10% 8 tháng cuối năm</t>
  </si>
  <si>
    <t>Phụ lục 01
 SỐ TẠM GiỮ LẠI 10% CHI QUẢN LÝ NHÀ NƯỚC</t>
  </si>
  <si>
    <t>Phụ lục 02
SỐ TẠM GiỮ LẠI 10% CHI SỰ NGHIỆP GIÁO DỤC</t>
  </si>
  <si>
    <t>Phụ lục 03
SỐ TẠM GiỮ LẠI 10% SỰ NGHIỆP ĐÀO TẠO</t>
  </si>
  <si>
    <t>Phụ lục 04: 
SỐ TAMK GiỮ LẠI 10% SỰ NGHIỆP Y TẾ</t>
  </si>
  <si>
    <t>Phụ lục 05
 SỐ TẠM GiỮ LẠI 10% SỰ NGHIỆP KHOA HỌC CÔNG NGHỆ</t>
  </si>
  <si>
    <t>Phụ lục 06
 SỐ TẠM GiỮ LẠI 10% SỰ NGHIỆP VH, TT, THỂ THAO</t>
  </si>
  <si>
    <t>Phụ lục 07 
SỐ TẠM GiỮ LẠI 10% SỰ NGHIỆP ĐẢM BẢO XÃ HỘI</t>
  </si>
  <si>
    <t>Phụ lục  08 
SỐ TẠM GiỮ LẠI 10% SỰ NGHIỆP KINH TẾ</t>
  </si>
  <si>
    <t>Phụ lục 09 
SỐ TẠM GiỮ LẠI 10% SỰ NGHIỆP MÔI TRƯỜNG</t>
  </si>
  <si>
    <t>Phụ lục 10
 SỐ TẠM GiỮ LẠI 10% HỖ TRỢ CÁC TỔ CHỨC HỘI VÀ HỖ TRỢ KHÁC</t>
  </si>
  <si>
    <t>Tổng số tạm giữ lại 10% của 8 tháng cuối năm 2015</t>
  </si>
  <si>
    <t>(Kèm theo Quyết định số 2022 /QĐ-UBND  ngày 08 /6  /2015 của UBND tỉnh)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</si>
</sst>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"/>
    <numFmt numFmtId="173" formatCode="0.0"/>
    <numFmt numFmtId="174" formatCode="#,##0;[Red]#,##0"/>
    <numFmt numFmtId="175" formatCode="0.00000"/>
    <numFmt numFmtId="176" formatCode="0.0000"/>
    <numFmt numFmtId="177" formatCode="0.000"/>
    <numFmt numFmtId="178" formatCode="#,##0.000"/>
    <numFmt numFmtId="179" formatCode="#,##0.0000"/>
    <numFmt numFmtId="180" formatCode="0.000000"/>
    <numFmt numFmtId="181" formatCode="0.0000000"/>
    <numFmt numFmtId="182" formatCode="#,##0.0;[Red]#,##0.0"/>
    <numFmt numFmtId="183" formatCode="#,##0.00;[Red]#,##0.00"/>
    <numFmt numFmtId="184" formatCode="#,##0.000;[Red]#,##0.000"/>
    <numFmt numFmtId="185" formatCode="_(* #,##0_);_(* \(#,##0\);_(* &quot;-&quot;??_);_(@_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_);\(0\)"/>
    <numFmt numFmtId="191" formatCode="0.00_);\(0.00\)"/>
  </numFmts>
  <fonts count="53">
    <font>
      <sz val="11"/>
      <name val=".VnArial Narrow"/>
      <family val="0"/>
    </font>
    <font>
      <b/>
      <sz val="11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.VnArial Narrow"/>
      <family val="0"/>
    </font>
    <font>
      <b/>
      <sz val="10"/>
      <name val="Times New Roman"/>
      <family val="1"/>
    </font>
    <font>
      <u val="single"/>
      <sz val="11"/>
      <color indexed="12"/>
      <name val=".VnArial Narrow"/>
      <family val="0"/>
    </font>
    <font>
      <u val="single"/>
      <sz val="11"/>
      <color indexed="36"/>
      <name val=".VnArial Narrow"/>
      <family val="0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7"/>
      <name val="Times New Roman"/>
      <family val="1"/>
    </font>
    <font>
      <sz val="10"/>
      <name val="Arial"/>
      <family val="0"/>
    </font>
    <font>
      <i/>
      <sz val="12"/>
      <name val="Times New Roman"/>
      <family val="1"/>
    </font>
    <font>
      <sz val="11"/>
      <name val="Times New Roman"/>
      <family val="1"/>
    </font>
    <font>
      <b/>
      <sz val="10"/>
      <name val=".VnArial Narrow"/>
      <family val="0"/>
    </font>
    <font>
      <b/>
      <u val="single"/>
      <sz val="11"/>
      <name val="Times New Roman"/>
      <family val="1"/>
    </font>
    <font>
      <b/>
      <i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10">
    <xf numFmtId="0" fontId="0" fillId="0" borderId="0" xfId="0" applyAlignment="1">
      <alignment/>
    </xf>
    <xf numFmtId="3" fontId="6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12" fillId="0" borderId="0" xfId="0" applyFont="1" applyAlignment="1">
      <alignment/>
    </xf>
    <xf numFmtId="3" fontId="10" fillId="0" borderId="0" xfId="0" applyNumberFormat="1" applyFont="1" applyAlignment="1">
      <alignment/>
    </xf>
    <xf numFmtId="3" fontId="10" fillId="0" borderId="10" xfId="0" applyNumberFormat="1" applyFont="1" applyBorder="1" applyAlignment="1">
      <alignment/>
    </xf>
    <xf numFmtId="0" fontId="3" fillId="0" borderId="0" xfId="0" applyFont="1" applyAlignment="1">
      <alignment horizontal="center"/>
    </xf>
    <xf numFmtId="3" fontId="6" fillId="0" borderId="11" xfId="0" applyNumberFormat="1" applyFont="1" applyBorder="1" applyAlignment="1">
      <alignment/>
    </xf>
    <xf numFmtId="3" fontId="3" fillId="0" borderId="11" xfId="0" applyNumberFormat="1" applyFont="1" applyBorder="1" applyAlignment="1">
      <alignment horizontal="center"/>
    </xf>
    <xf numFmtId="0" fontId="3" fillId="0" borderId="11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0" fontId="3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3" fontId="3" fillId="0" borderId="12" xfId="0" applyNumberFormat="1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/>
    </xf>
    <xf numFmtId="0" fontId="3" fillId="0" borderId="11" xfId="0" applyFont="1" applyBorder="1" applyAlignment="1">
      <alignment/>
    </xf>
    <xf numFmtId="3" fontId="6" fillId="0" borderId="0" xfId="0" applyNumberFormat="1" applyFont="1" applyAlignment="1">
      <alignment/>
    </xf>
    <xf numFmtId="0" fontId="6" fillId="0" borderId="11" xfId="0" applyFont="1" applyBorder="1" applyAlignment="1">
      <alignment/>
    </xf>
    <xf numFmtId="49" fontId="3" fillId="0" borderId="0" xfId="0" applyNumberFormat="1" applyFont="1" applyAlignment="1">
      <alignment horizontal="center"/>
    </xf>
    <xf numFmtId="3" fontId="10" fillId="0" borderId="12" xfId="0" applyNumberFormat="1" applyFont="1" applyBorder="1" applyAlignment="1">
      <alignment horizontal="center" vertical="center" wrapText="1"/>
    </xf>
    <xf numFmtId="3" fontId="12" fillId="0" borderId="0" xfId="0" applyNumberFormat="1" applyFont="1" applyAlignment="1">
      <alignment/>
    </xf>
    <xf numFmtId="3" fontId="12" fillId="0" borderId="10" xfId="0" applyNumberFormat="1" applyFont="1" applyBorder="1" applyAlignment="1">
      <alignment/>
    </xf>
    <xf numFmtId="3" fontId="3" fillId="0" borderId="0" xfId="0" applyNumberFormat="1" applyFont="1" applyAlignment="1">
      <alignment horizontal="center"/>
    </xf>
    <xf numFmtId="3" fontId="4" fillId="0" borderId="0" xfId="0" applyNumberFormat="1" applyFont="1" applyAlignment="1">
      <alignment/>
    </xf>
    <xf numFmtId="3" fontId="6" fillId="0" borderId="0" xfId="0" applyNumberFormat="1" applyFont="1" applyAlignment="1">
      <alignment horizontal="center"/>
    </xf>
    <xf numFmtId="3" fontId="10" fillId="0" borderId="0" xfId="0" applyNumberFormat="1" applyFont="1" applyAlignment="1">
      <alignment horizontal="left"/>
    </xf>
    <xf numFmtId="0" fontId="3" fillId="0" borderId="12" xfId="0" applyFont="1" applyBorder="1" applyAlignment="1">
      <alignment horizontal="center"/>
    </xf>
    <xf numFmtId="3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  <xf numFmtId="3" fontId="6" fillId="0" borderId="13" xfId="0" applyNumberFormat="1" applyFont="1" applyBorder="1" applyAlignment="1">
      <alignment horizontal="center"/>
    </xf>
    <xf numFmtId="3" fontId="6" fillId="0" borderId="13" xfId="0" applyNumberFormat="1" applyFont="1" applyBorder="1" applyAlignment="1">
      <alignment/>
    </xf>
    <xf numFmtId="3" fontId="1" fillId="0" borderId="13" xfId="0" applyNumberFormat="1" applyFont="1" applyBorder="1" applyAlignment="1">
      <alignment horizontal="center"/>
    </xf>
    <xf numFmtId="3" fontId="1" fillId="0" borderId="13" xfId="0" applyNumberFormat="1" applyFont="1" applyBorder="1" applyAlignment="1">
      <alignment/>
    </xf>
    <xf numFmtId="3" fontId="1" fillId="0" borderId="13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3" fontId="1" fillId="0" borderId="11" xfId="0" applyNumberFormat="1" applyFont="1" applyBorder="1" applyAlignment="1">
      <alignment horizontal="center"/>
    </xf>
    <xf numFmtId="3" fontId="1" fillId="0" borderId="11" xfId="0" applyNumberFormat="1" applyFont="1" applyBorder="1" applyAlignment="1">
      <alignment/>
    </xf>
    <xf numFmtId="3" fontId="1" fillId="0" borderId="11" xfId="0" applyNumberFormat="1" applyFont="1" applyBorder="1" applyAlignment="1">
      <alignment/>
    </xf>
    <xf numFmtId="3" fontId="15" fillId="0" borderId="11" xfId="0" applyNumberFormat="1" applyFont="1" applyBorder="1" applyAlignment="1">
      <alignment horizontal="center"/>
    </xf>
    <xf numFmtId="3" fontId="15" fillId="0" borderId="11" xfId="0" applyNumberFormat="1" applyFont="1" applyBorder="1" applyAlignment="1">
      <alignment/>
    </xf>
    <xf numFmtId="3" fontId="15" fillId="0" borderId="11" xfId="0" applyNumberFormat="1" applyFont="1" applyBorder="1" applyAlignment="1">
      <alignment/>
    </xf>
    <xf numFmtId="3" fontId="15" fillId="0" borderId="0" xfId="0" applyNumberFormat="1" applyFont="1" applyAlignment="1">
      <alignment/>
    </xf>
    <xf numFmtId="3" fontId="15" fillId="0" borderId="11" xfId="0" applyNumberFormat="1" applyFont="1" applyBorder="1" applyAlignment="1">
      <alignment horizontal="left" vertical="center" wrapText="1"/>
    </xf>
    <xf numFmtId="49" fontId="15" fillId="0" borderId="0" xfId="0" applyNumberFormat="1" applyFont="1" applyAlignment="1">
      <alignment/>
    </xf>
    <xf numFmtId="49" fontId="15" fillId="0" borderId="0" xfId="0" applyNumberFormat="1" applyFont="1" applyAlignment="1">
      <alignment horizontal="right"/>
    </xf>
    <xf numFmtId="3" fontId="15" fillId="0" borderId="0" xfId="0" applyNumberFormat="1" applyFont="1" applyAlignment="1">
      <alignment/>
    </xf>
    <xf numFmtId="49" fontId="15" fillId="0" borderId="0" xfId="0" applyNumberFormat="1" applyFont="1" applyAlignment="1">
      <alignment/>
    </xf>
    <xf numFmtId="49" fontId="15" fillId="0" borderId="0" xfId="0" applyNumberFormat="1" applyFont="1" applyAlignment="1">
      <alignment horizontal="center"/>
    </xf>
    <xf numFmtId="3" fontId="15" fillId="0" borderId="0" xfId="0" applyNumberFormat="1" applyFont="1" applyAlignment="1">
      <alignment horizontal="center"/>
    </xf>
    <xf numFmtId="3" fontId="15" fillId="0" borderId="0" xfId="0" applyNumberFormat="1" applyFont="1" applyAlignment="1">
      <alignment horizontal="left"/>
    </xf>
    <xf numFmtId="3" fontId="15" fillId="0" borderId="12" xfId="0" applyNumberFormat="1" applyFont="1" applyBorder="1" applyAlignment="1">
      <alignment horizontal="center" vertical="center" wrapText="1"/>
    </xf>
    <xf numFmtId="0" fontId="15" fillId="0" borderId="0" xfId="0" applyFont="1" applyAlignment="1">
      <alignment/>
    </xf>
    <xf numFmtId="3" fontId="15" fillId="0" borderId="13" xfId="0" applyNumberFormat="1" applyFont="1" applyBorder="1" applyAlignment="1">
      <alignment horizontal="right"/>
    </xf>
    <xf numFmtId="3" fontId="1" fillId="0" borderId="13" xfId="0" applyNumberFormat="1" applyFont="1" applyBorder="1" applyAlignment="1">
      <alignment horizontal="right"/>
    </xf>
    <xf numFmtId="0" fontId="15" fillId="0" borderId="11" xfId="0" applyFont="1" applyBorder="1" applyAlignment="1">
      <alignment/>
    </xf>
    <xf numFmtId="0" fontId="15" fillId="0" borderId="11" xfId="0" applyNumberFormat="1" applyFont="1" applyBorder="1" applyAlignment="1">
      <alignment/>
    </xf>
    <xf numFmtId="0" fontId="15" fillId="0" borderId="10" xfId="0" applyFont="1" applyBorder="1" applyAlignment="1">
      <alignment horizontal="right"/>
    </xf>
    <xf numFmtId="0" fontId="15" fillId="0" borderId="10" xfId="0" applyFont="1" applyBorder="1" applyAlignment="1">
      <alignment/>
    </xf>
    <xf numFmtId="4" fontId="1" fillId="0" borderId="10" xfId="0" applyNumberFormat="1" applyFont="1" applyFill="1" applyBorder="1" applyAlignment="1">
      <alignment/>
    </xf>
    <xf numFmtId="3" fontId="1" fillId="0" borderId="10" xfId="0" applyNumberFormat="1" applyFont="1" applyBorder="1" applyAlignment="1">
      <alignment/>
    </xf>
    <xf numFmtId="3" fontId="15" fillId="0" borderId="10" xfId="0" applyNumberFormat="1" applyFont="1" applyBorder="1" applyAlignment="1">
      <alignment/>
    </xf>
    <xf numFmtId="0" fontId="15" fillId="0" borderId="0" xfId="0" applyFont="1" applyAlignment="1">
      <alignment horizontal="right"/>
    </xf>
    <xf numFmtId="4" fontId="1" fillId="0" borderId="0" xfId="0" applyNumberFormat="1" applyFont="1" applyFill="1" applyAlignment="1">
      <alignment horizontal="center"/>
    </xf>
    <xf numFmtId="172" fontId="15" fillId="0" borderId="0" xfId="0" applyNumberFormat="1" applyFont="1" applyAlignment="1">
      <alignment/>
    </xf>
    <xf numFmtId="0" fontId="1" fillId="0" borderId="0" xfId="0" applyFont="1" applyAlignment="1">
      <alignment/>
    </xf>
    <xf numFmtId="3" fontId="15" fillId="0" borderId="13" xfId="0" applyNumberFormat="1" applyFont="1" applyBorder="1" applyAlignment="1">
      <alignment horizontal="center"/>
    </xf>
    <xf numFmtId="0" fontId="15" fillId="0" borderId="13" xfId="0" applyNumberFormat="1" applyFont="1" applyBorder="1" applyAlignment="1">
      <alignment/>
    </xf>
    <xf numFmtId="3" fontId="15" fillId="0" borderId="13" xfId="0" applyNumberFormat="1" applyFont="1" applyBorder="1" applyAlignment="1">
      <alignment/>
    </xf>
    <xf numFmtId="3" fontId="15" fillId="0" borderId="10" xfId="0" applyNumberFormat="1" applyFont="1" applyBorder="1" applyAlignment="1">
      <alignment horizontal="center"/>
    </xf>
    <xf numFmtId="3" fontId="1" fillId="0" borderId="14" xfId="0" applyNumberFormat="1" applyFont="1" applyBorder="1" applyAlignment="1">
      <alignment horizontal="center"/>
    </xf>
    <xf numFmtId="3" fontId="1" fillId="0" borderId="14" xfId="0" applyNumberFormat="1" applyFont="1" applyBorder="1" applyAlignment="1">
      <alignment horizontal="right"/>
    </xf>
    <xf numFmtId="3" fontId="15" fillId="0" borderId="11" xfId="58" applyNumberFormat="1" applyFont="1" applyBorder="1" applyAlignment="1" applyProtection="1">
      <alignment horizontal="left"/>
      <protection/>
    </xf>
    <xf numFmtId="3" fontId="15" fillId="0" borderId="15" xfId="58" applyNumberFormat="1" applyFont="1" applyBorder="1" applyAlignment="1" applyProtection="1">
      <alignment horizontal="left"/>
      <protection locked="0"/>
    </xf>
    <xf numFmtId="3" fontId="15" fillId="0" borderId="15" xfId="0" applyNumberFormat="1" applyFont="1" applyBorder="1" applyAlignment="1">
      <alignment/>
    </xf>
    <xf numFmtId="3" fontId="15" fillId="0" borderId="10" xfId="0" applyNumberFormat="1" applyFont="1" applyBorder="1" applyAlignment="1">
      <alignment/>
    </xf>
    <xf numFmtId="0" fontId="15" fillId="0" borderId="10" xfId="0" applyFont="1" applyBorder="1" applyAlignment="1">
      <alignment/>
    </xf>
    <xf numFmtId="0" fontId="15" fillId="0" borderId="0" xfId="0" applyFont="1" applyAlignment="1">
      <alignment/>
    </xf>
    <xf numFmtId="0" fontId="15" fillId="0" borderId="0" xfId="0" applyFont="1" applyAlignment="1">
      <alignment horizontal="center"/>
    </xf>
    <xf numFmtId="49" fontId="1" fillId="0" borderId="0" xfId="0" applyNumberFormat="1" applyFont="1" applyAlignment="1">
      <alignment horizontal="left"/>
    </xf>
    <xf numFmtId="3" fontId="1" fillId="0" borderId="14" xfId="0" applyNumberFormat="1" applyFont="1" applyBorder="1" applyAlignment="1">
      <alignment horizontal="left"/>
    </xf>
    <xf numFmtId="3" fontId="1" fillId="0" borderId="0" xfId="0" applyNumberFormat="1" applyFont="1" applyAlignment="1">
      <alignment horizontal="left"/>
    </xf>
    <xf numFmtId="3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3" fontId="15" fillId="0" borderId="16" xfId="0" applyNumberFormat="1" applyFont="1" applyBorder="1" applyAlignment="1">
      <alignment horizontal="center"/>
    </xf>
    <xf numFmtId="3" fontId="1" fillId="0" borderId="16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3" fontId="1" fillId="0" borderId="12" xfId="0" applyNumberFormat="1" applyFont="1" applyBorder="1" applyAlignment="1">
      <alignment horizontal="center" vertical="center" wrapText="1"/>
    </xf>
    <xf numFmtId="3" fontId="1" fillId="0" borderId="14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NumberFormat="1" applyFont="1" applyBorder="1" applyAlignment="1">
      <alignment/>
    </xf>
    <xf numFmtId="0" fontId="1" fillId="0" borderId="13" xfId="0" applyNumberFormat="1" applyFont="1" applyBorder="1" applyAlignment="1">
      <alignment/>
    </xf>
    <xf numFmtId="3" fontId="15" fillId="0" borderId="13" xfId="0" applyNumberFormat="1" applyFont="1" applyBorder="1" applyAlignment="1">
      <alignment/>
    </xf>
    <xf numFmtId="3" fontId="15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0" xfId="0" applyFont="1" applyAlignment="1">
      <alignment horizontal="right"/>
    </xf>
    <xf numFmtId="1" fontId="15" fillId="0" borderId="0" xfId="0" applyNumberFormat="1" applyFont="1" applyAlignment="1">
      <alignment/>
    </xf>
    <xf numFmtId="3" fontId="1" fillId="0" borderId="11" xfId="0" applyNumberFormat="1" applyFont="1" applyBorder="1" applyAlignment="1">
      <alignment horizontal="right"/>
    </xf>
    <xf numFmtId="3" fontId="15" fillId="0" borderId="11" xfId="0" applyNumberFormat="1" applyFont="1" applyBorder="1" applyAlignment="1">
      <alignment horizontal="right"/>
    </xf>
    <xf numFmtId="0" fontId="15" fillId="0" borderId="10" xfId="0" applyFont="1" applyBorder="1" applyAlignment="1">
      <alignment horizontal="center"/>
    </xf>
    <xf numFmtId="3" fontId="15" fillId="0" borderId="0" xfId="0" applyNumberFormat="1" applyFont="1" applyAlignment="1">
      <alignment horizontal="right"/>
    </xf>
    <xf numFmtId="3" fontId="15" fillId="0" borderId="11" xfId="0" applyNumberFormat="1" applyFont="1" applyBorder="1" applyAlignment="1">
      <alignment horizontal="left"/>
    </xf>
    <xf numFmtId="0" fontId="1" fillId="0" borderId="11" xfId="0" applyNumberFormat="1" applyFont="1" applyBorder="1" applyAlignment="1">
      <alignment vertical="center"/>
    </xf>
    <xf numFmtId="3" fontId="1" fillId="0" borderId="11" xfId="0" applyNumberFormat="1" applyFont="1" applyBorder="1" applyAlignment="1">
      <alignment vertical="center"/>
    </xf>
    <xf numFmtId="1" fontId="1" fillId="0" borderId="11" xfId="0" applyNumberFormat="1" applyFont="1" applyBorder="1" applyAlignment="1">
      <alignment/>
    </xf>
    <xf numFmtId="0" fontId="15" fillId="0" borderId="11" xfId="0" applyFont="1" applyBorder="1" applyAlignment="1">
      <alignment horizontal="left" vertical="center" wrapText="1"/>
    </xf>
    <xf numFmtId="3" fontId="15" fillId="0" borderId="11" xfId="0" applyNumberFormat="1" applyFont="1" applyBorder="1" applyAlignment="1">
      <alignment horizontal="right" vertical="center" wrapText="1"/>
    </xf>
    <xf numFmtId="3" fontId="15" fillId="0" borderId="11" xfId="0" applyNumberFormat="1" applyFont="1" applyBorder="1" applyAlignment="1">
      <alignment vertical="center"/>
    </xf>
    <xf numFmtId="1" fontId="1" fillId="0" borderId="11" xfId="0" applyNumberFormat="1" applyFont="1" applyBorder="1" applyAlignment="1">
      <alignment vertical="center"/>
    </xf>
    <xf numFmtId="3" fontId="1" fillId="0" borderId="11" xfId="0" applyNumberFormat="1" applyFont="1" applyBorder="1" applyAlignment="1">
      <alignment horizontal="right" vertical="center" wrapText="1"/>
    </xf>
    <xf numFmtId="3" fontId="1" fillId="0" borderId="11" xfId="0" applyNumberFormat="1" applyFont="1" applyBorder="1" applyAlignment="1">
      <alignment horizontal="left" vertical="center" wrapText="1"/>
    </xf>
    <xf numFmtId="3" fontId="1" fillId="0" borderId="0" xfId="0" applyNumberFormat="1" applyFont="1" applyAlignment="1">
      <alignment horizontal="right"/>
    </xf>
    <xf numFmtId="3" fontId="1" fillId="0" borderId="10" xfId="0" applyNumberFormat="1" applyFont="1" applyBorder="1" applyAlignment="1">
      <alignment/>
    </xf>
    <xf numFmtId="1" fontId="15" fillId="0" borderId="11" xfId="0" applyNumberFormat="1" applyFont="1" applyBorder="1" applyAlignment="1">
      <alignment/>
    </xf>
    <xf numFmtId="1" fontId="15" fillId="0" borderId="11" xfId="0" applyNumberFormat="1" applyFont="1" applyBorder="1" applyAlignment="1">
      <alignment vertical="center"/>
    </xf>
    <xf numFmtId="0" fontId="1" fillId="0" borderId="11" xfId="0" applyFont="1" applyBorder="1" applyAlignment="1">
      <alignment horizontal="center" vertical="center" wrapText="1"/>
    </xf>
    <xf numFmtId="0" fontId="15" fillId="0" borderId="11" xfId="0" applyNumberFormat="1" applyFont="1" applyBorder="1" applyAlignment="1">
      <alignment horizontal="left" vertical="center" wrapText="1"/>
    </xf>
    <xf numFmtId="3" fontId="1" fillId="0" borderId="11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left" vertical="center" wrapText="1"/>
    </xf>
    <xf numFmtId="49" fontId="2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173" fontId="3" fillId="0" borderId="0" xfId="0" applyNumberFormat="1" applyFont="1" applyAlignment="1">
      <alignment/>
    </xf>
    <xf numFmtId="0" fontId="6" fillId="0" borderId="15" xfId="0" applyFont="1" applyBorder="1" applyAlignment="1">
      <alignment/>
    </xf>
    <xf numFmtId="49" fontId="1" fillId="0" borderId="0" xfId="0" applyNumberFormat="1" applyFont="1" applyAlignment="1">
      <alignment/>
    </xf>
    <xf numFmtId="3" fontId="15" fillId="0" borderId="13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/>
    </xf>
    <xf numFmtId="3" fontId="15" fillId="0" borderId="10" xfId="0" applyNumberFormat="1" applyFont="1" applyBorder="1" applyAlignment="1">
      <alignment vertical="center" wrapText="1"/>
    </xf>
    <xf numFmtId="49" fontId="17" fillId="0" borderId="0" xfId="0" applyNumberFormat="1" applyFont="1" applyAlignment="1">
      <alignment horizontal="center"/>
    </xf>
    <xf numFmtId="3" fontId="15" fillId="0" borderId="16" xfId="0" applyNumberFormat="1" applyFont="1" applyBorder="1" applyAlignment="1">
      <alignment/>
    </xf>
    <xf numFmtId="0" fontId="1" fillId="0" borderId="13" xfId="0" applyNumberFormat="1" applyFont="1" applyBorder="1" applyAlignment="1">
      <alignment horizontal="center"/>
    </xf>
    <xf numFmtId="0" fontId="15" fillId="0" borderId="11" xfId="43" applyNumberFormat="1" applyFont="1" applyBorder="1" applyAlignment="1">
      <alignment/>
    </xf>
    <xf numFmtId="0" fontId="15" fillId="0" borderId="15" xfId="0" applyFont="1" applyBorder="1" applyAlignment="1">
      <alignment/>
    </xf>
    <xf numFmtId="0" fontId="10" fillId="0" borderId="12" xfId="0" applyFont="1" applyBorder="1" applyAlignment="1">
      <alignment horizontal="center" vertical="center" wrapText="1"/>
    </xf>
    <xf numFmtId="3" fontId="10" fillId="0" borderId="12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horizontal="right"/>
    </xf>
    <xf numFmtId="3" fontId="2" fillId="0" borderId="0" xfId="0" applyNumberFormat="1" applyFont="1" applyAlignment="1">
      <alignment/>
    </xf>
    <xf numFmtId="3" fontId="15" fillId="0" borderId="15" xfId="0" applyNumberFormat="1" applyFont="1" applyBorder="1" applyAlignment="1">
      <alignment horizontal="center" vertical="center" wrapText="1"/>
    </xf>
    <xf numFmtId="3" fontId="15" fillId="0" borderId="15" xfId="0" applyNumberFormat="1" applyFont="1" applyBorder="1" applyAlignment="1">
      <alignment/>
    </xf>
    <xf numFmtId="0" fontId="1" fillId="0" borderId="15" xfId="0" applyFont="1" applyBorder="1" applyAlignment="1">
      <alignment horizontal="left" vertical="center" wrapText="1"/>
    </xf>
    <xf numFmtId="3" fontId="18" fillId="0" borderId="0" xfId="0" applyNumberFormat="1" applyFont="1" applyAlignment="1">
      <alignment/>
    </xf>
    <xf numFmtId="3" fontId="15" fillId="0" borderId="15" xfId="0" applyNumberFormat="1" applyFont="1" applyBorder="1" applyAlignment="1">
      <alignment vertical="center" wrapText="1"/>
    </xf>
    <xf numFmtId="0" fontId="15" fillId="0" borderId="11" xfId="0" applyNumberFormat="1" applyFont="1" applyBorder="1" applyAlignment="1">
      <alignment wrapText="1"/>
    </xf>
    <xf numFmtId="3" fontId="1" fillId="0" borderId="11" xfId="0" applyNumberFormat="1" applyFont="1" applyBorder="1" applyAlignment="1">
      <alignment horizontal="left" wrapText="1"/>
    </xf>
    <xf numFmtId="3" fontId="6" fillId="0" borderId="12" xfId="0" applyNumberFormat="1" applyFont="1" applyBorder="1" applyAlignment="1">
      <alignment horizontal="center" vertical="center" wrapText="1"/>
    </xf>
    <xf numFmtId="3" fontId="4" fillId="0" borderId="0" xfId="0" applyNumberFormat="1" applyFont="1" applyAlignment="1">
      <alignment horizontal="center" wrapText="1"/>
    </xf>
    <xf numFmtId="3" fontId="4" fillId="0" borderId="0" xfId="0" applyNumberFormat="1" applyFont="1" applyAlignment="1">
      <alignment horizontal="center"/>
    </xf>
    <xf numFmtId="3" fontId="14" fillId="0" borderId="0" xfId="0" applyNumberFormat="1" applyFont="1" applyAlignment="1">
      <alignment horizontal="center"/>
    </xf>
    <xf numFmtId="3" fontId="16" fillId="0" borderId="12" xfId="0" applyNumberFormat="1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wrapText="1"/>
    </xf>
    <xf numFmtId="49" fontId="4" fillId="0" borderId="0" xfId="0" applyNumberFormat="1" applyFont="1" applyAlignment="1">
      <alignment horizontal="center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 wrapText="1"/>
    </xf>
    <xf numFmtId="3" fontId="15" fillId="0" borderId="12" xfId="0" applyNumberFormat="1" applyFont="1" applyBorder="1" applyAlignment="1">
      <alignment horizontal="right" vertical="center" wrapText="1"/>
    </xf>
    <xf numFmtId="0" fontId="15" fillId="0" borderId="12" xfId="0" applyFont="1" applyBorder="1" applyAlignment="1">
      <alignment horizontal="right" vertical="center" wrapText="1"/>
    </xf>
    <xf numFmtId="3" fontId="15" fillId="0" borderId="12" xfId="0" applyNumberFormat="1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3" fontId="1" fillId="0" borderId="20" xfId="0" applyNumberFormat="1" applyFont="1" applyBorder="1" applyAlignment="1">
      <alignment horizontal="center" vertical="center" wrapText="1"/>
    </xf>
    <xf numFmtId="3" fontId="1" fillId="0" borderId="22" xfId="0" applyNumberFormat="1" applyFont="1" applyBorder="1" applyAlignment="1">
      <alignment horizontal="center" vertical="center" wrapText="1"/>
    </xf>
    <xf numFmtId="3" fontId="1" fillId="0" borderId="21" xfId="0" applyNumberFormat="1" applyFont="1" applyBorder="1" applyAlignment="1">
      <alignment horizontal="center" vertical="center" wrapText="1"/>
    </xf>
    <xf numFmtId="3" fontId="1" fillId="0" borderId="12" xfId="0" applyNumberFormat="1" applyFont="1" applyFill="1" applyBorder="1" applyAlignment="1">
      <alignment horizontal="center" vertical="center" wrapText="1"/>
    </xf>
    <xf numFmtId="3" fontId="1" fillId="0" borderId="12" xfId="0" applyNumberFormat="1" applyFont="1" applyBorder="1" applyAlignment="1">
      <alignment horizontal="center" vertical="center" wrapText="1"/>
    </xf>
    <xf numFmtId="3" fontId="1" fillId="0" borderId="23" xfId="0" applyNumberFormat="1" applyFont="1" applyBorder="1" applyAlignment="1">
      <alignment horizontal="center" vertical="center" wrapText="1"/>
    </xf>
    <xf numFmtId="3" fontId="1" fillId="0" borderId="24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3" fontId="11" fillId="0" borderId="12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9" fillId="0" borderId="20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 wrapText="1"/>
    </xf>
    <xf numFmtId="3" fontId="11" fillId="0" borderId="20" xfId="0" applyNumberFormat="1" applyFont="1" applyFill="1" applyBorder="1" applyAlignment="1">
      <alignment horizontal="center" vertical="center" wrapText="1"/>
    </xf>
    <xf numFmtId="3" fontId="11" fillId="0" borderId="22" xfId="0" applyNumberFormat="1" applyFont="1" applyFill="1" applyBorder="1" applyAlignment="1">
      <alignment horizontal="center" vertical="center" wrapText="1"/>
    </xf>
    <xf numFmtId="3" fontId="11" fillId="0" borderId="2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3" fontId="1" fillId="0" borderId="16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3" fontId="15" fillId="0" borderId="16" xfId="0" applyNumberFormat="1" applyFont="1" applyBorder="1" applyAlignment="1">
      <alignment horizontal="center"/>
    </xf>
    <xf numFmtId="3" fontId="3" fillId="0" borderId="12" xfId="0" applyNumberFormat="1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3" fontId="3" fillId="0" borderId="16" xfId="0" applyNumberFormat="1" applyFont="1" applyBorder="1" applyAlignment="1">
      <alignment horizontal="center"/>
    </xf>
    <xf numFmtId="3" fontId="6" fillId="0" borderId="16" xfId="0" applyNumberFormat="1" applyFont="1" applyBorder="1" applyAlignment="1">
      <alignment horizontal="center"/>
    </xf>
    <xf numFmtId="0" fontId="6" fillId="0" borderId="20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3" fontId="6" fillId="0" borderId="12" xfId="0" applyNumberFormat="1" applyFont="1" applyFill="1" applyBorder="1" applyAlignment="1">
      <alignment horizontal="center" vertical="center" wrapText="1"/>
    </xf>
    <xf numFmtId="3" fontId="3" fillId="0" borderId="15" xfId="0" applyNumberFormat="1" applyFont="1" applyBorder="1" applyAlignment="1">
      <alignment horizontal="left" vertical="center" wrapText="1"/>
    </xf>
    <xf numFmtId="3" fontId="3" fillId="0" borderId="13" xfId="0" applyNumberFormat="1" applyFont="1" applyBorder="1" applyAlignment="1">
      <alignment horizontal="left" vertical="center" wrapText="1"/>
    </xf>
    <xf numFmtId="3" fontId="15" fillId="0" borderId="15" xfId="0" applyNumberFormat="1" applyFont="1" applyBorder="1" applyAlignment="1">
      <alignment horizontal="left" vertical="center" wrapText="1"/>
    </xf>
    <xf numFmtId="3" fontId="15" fillId="0" borderId="13" xfId="0" applyNumberFormat="1" applyFont="1" applyBorder="1" applyAlignment="1">
      <alignment horizontal="left" vertical="center" wrapText="1"/>
    </xf>
    <xf numFmtId="49" fontId="15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left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Bang_luong_TH_Thang_09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0"/>
  <sheetViews>
    <sheetView tabSelected="1" zoomScale="90" zoomScaleNormal="90" zoomScalePageLayoutView="0" workbookViewId="0" topLeftCell="A1">
      <selection activeCell="A3" sqref="A3:M3"/>
    </sheetView>
  </sheetViews>
  <sheetFormatPr defaultColWidth="9" defaultRowHeight="15" customHeight="1"/>
  <cols>
    <col min="1" max="1" width="5" style="6" customWidth="1"/>
    <col min="2" max="2" width="33.8984375" style="6" customWidth="1"/>
    <col min="3" max="3" width="12.3984375" style="6" customWidth="1"/>
    <col min="4" max="4" width="9.3984375" style="6" customWidth="1"/>
    <col min="5" max="5" width="8.59765625" style="6" customWidth="1"/>
    <col min="6" max="6" width="9.59765625" style="6" customWidth="1"/>
    <col min="7" max="7" width="9.296875" style="6" customWidth="1"/>
    <col min="8" max="8" width="9.59765625" style="6" customWidth="1"/>
    <col min="9" max="9" width="9.296875" style="6" customWidth="1"/>
    <col min="10" max="10" width="8" style="6" customWidth="1"/>
    <col min="11" max="11" width="8.3984375" style="6" customWidth="1"/>
    <col min="12" max="12" width="8" style="6" customWidth="1"/>
    <col min="13" max="13" width="17.69921875" style="6" customWidth="1"/>
    <col min="14" max="16384" width="9" style="6" customWidth="1"/>
  </cols>
  <sheetData>
    <row r="1" spans="1:13" s="26" customFormat="1" ht="34.5" customHeight="1">
      <c r="A1" s="146" t="s">
        <v>265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</row>
    <row r="2" spans="1:13" s="26" customFormat="1" ht="17.25" customHeight="1">
      <c r="A2" s="147" t="s">
        <v>198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</row>
    <row r="3" spans="1:13" s="26" customFormat="1" ht="21" customHeight="1">
      <c r="A3" s="148" t="s">
        <v>278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</row>
    <row r="5" spans="1:13" s="2" customFormat="1" ht="15" customHeight="1">
      <c r="A5" s="145" t="s">
        <v>77</v>
      </c>
      <c r="B5" s="145" t="s">
        <v>78</v>
      </c>
      <c r="C5" s="145" t="s">
        <v>266</v>
      </c>
      <c r="D5" s="145" t="s">
        <v>34</v>
      </c>
      <c r="E5" s="145"/>
      <c r="F5" s="145"/>
      <c r="G5" s="145"/>
      <c r="H5" s="145"/>
      <c r="I5" s="145"/>
      <c r="J5" s="145"/>
      <c r="K5" s="145"/>
      <c r="L5" s="145"/>
      <c r="M5" s="145" t="s">
        <v>179</v>
      </c>
    </row>
    <row r="6" spans="1:13" s="2" customFormat="1" ht="51" customHeight="1">
      <c r="A6" s="149"/>
      <c r="B6" s="149"/>
      <c r="C6" s="145"/>
      <c r="D6" s="16" t="s">
        <v>196</v>
      </c>
      <c r="E6" s="16" t="s">
        <v>199</v>
      </c>
      <c r="F6" s="16" t="s">
        <v>200</v>
      </c>
      <c r="G6" s="16" t="s">
        <v>201</v>
      </c>
      <c r="H6" s="16" t="s">
        <v>202</v>
      </c>
      <c r="I6" s="16" t="s">
        <v>203</v>
      </c>
      <c r="J6" s="16" t="s">
        <v>204</v>
      </c>
      <c r="K6" s="16" t="s">
        <v>205</v>
      </c>
      <c r="L6" s="16" t="s">
        <v>197</v>
      </c>
      <c r="M6" s="145"/>
    </row>
    <row r="7" spans="1:13" s="37" customFormat="1" ht="16.5" customHeight="1">
      <c r="A7" s="38"/>
      <c r="B7" s="38" t="s">
        <v>22</v>
      </c>
      <c r="C7" s="40">
        <f>SUM(C8:C47)</f>
        <v>23218.6364146479</v>
      </c>
      <c r="D7" s="40">
        <f>SUM(D8:D47)</f>
        <v>6851.143899072182</v>
      </c>
      <c r="E7" s="40">
        <f aca="true" t="shared" si="0" ref="E7:L7">SUM(E8:E47)</f>
        <v>6770.156599333333</v>
      </c>
      <c r="F7" s="40">
        <f t="shared" si="0"/>
        <v>4116.6243031033155</v>
      </c>
      <c r="G7" s="40">
        <f t="shared" si="0"/>
        <v>265.1658</v>
      </c>
      <c r="H7" s="40">
        <f t="shared" si="0"/>
        <v>988.0544247807018</v>
      </c>
      <c r="I7" s="40">
        <f t="shared" si="0"/>
        <v>750.3659200000001</v>
      </c>
      <c r="J7" s="40">
        <f t="shared" si="0"/>
        <v>2337.5478470250364</v>
      </c>
      <c r="K7" s="40">
        <f t="shared" si="0"/>
        <v>663.0266666666668</v>
      </c>
      <c r="L7" s="40">
        <f t="shared" si="0"/>
        <v>476.5509546666667</v>
      </c>
      <c r="M7" s="40"/>
    </row>
    <row r="8" spans="1:13" s="44" customFormat="1" ht="16.5" customHeight="1">
      <c r="A8" s="41">
        <v>1</v>
      </c>
      <c r="B8" s="42" t="s">
        <v>224</v>
      </c>
      <c r="C8" s="40">
        <f>SUM(D8:L8)</f>
        <v>671.0386133333334</v>
      </c>
      <c r="D8" s="43">
        <f>'HC'!N7</f>
        <v>671.0386133333334</v>
      </c>
      <c r="E8" s="43"/>
      <c r="F8" s="43"/>
      <c r="G8" s="43"/>
      <c r="H8" s="43"/>
      <c r="I8" s="43"/>
      <c r="J8" s="43"/>
      <c r="K8" s="43"/>
      <c r="L8" s="43"/>
      <c r="M8" s="40"/>
    </row>
    <row r="9" spans="1:13" s="44" customFormat="1" ht="16.5" customHeight="1">
      <c r="A9" s="41">
        <v>2</v>
      </c>
      <c r="B9" s="42" t="s">
        <v>138</v>
      </c>
      <c r="C9" s="40">
        <f aca="true" t="shared" si="1" ref="C9:C46">SUM(D9:L9)</f>
        <v>635.1934072533334</v>
      </c>
      <c r="D9" s="43">
        <f>'HC'!N10</f>
        <v>608.1261405866667</v>
      </c>
      <c r="E9" s="43"/>
      <c r="F9" s="43"/>
      <c r="G9" s="43"/>
      <c r="H9" s="43"/>
      <c r="I9" s="43"/>
      <c r="J9" s="43">
        <f>KT!N37</f>
        <v>27.06726666666667</v>
      </c>
      <c r="K9" s="43"/>
      <c r="L9" s="43"/>
      <c r="M9" s="40"/>
    </row>
    <row r="10" spans="1:13" s="44" customFormat="1" ht="16.5" customHeight="1">
      <c r="A10" s="41">
        <v>3</v>
      </c>
      <c r="B10" s="42" t="s">
        <v>133</v>
      </c>
      <c r="C10" s="40">
        <f t="shared" si="1"/>
        <v>2165.3725452057897</v>
      </c>
      <c r="D10" s="43">
        <f>'HC'!N14</f>
        <v>1271.8588667521815</v>
      </c>
      <c r="E10" s="43"/>
      <c r="F10" s="43"/>
      <c r="G10" s="43"/>
      <c r="H10" s="43"/>
      <c r="I10" s="43"/>
      <c r="J10" s="43">
        <f>KT!N20</f>
        <v>893.5136784536082</v>
      </c>
      <c r="K10" s="43"/>
      <c r="L10" s="43"/>
      <c r="M10" s="40"/>
    </row>
    <row r="11" spans="1:13" s="44" customFormat="1" ht="16.5" customHeight="1">
      <c r="A11" s="41">
        <v>4</v>
      </c>
      <c r="B11" s="42" t="s">
        <v>165</v>
      </c>
      <c r="C11" s="40">
        <f t="shared" si="1"/>
        <v>1175.043456</v>
      </c>
      <c r="D11" s="43">
        <f>'HC'!N18</f>
        <v>111.38735466666667</v>
      </c>
      <c r="E11" s="43">
        <f>ĐT!H15</f>
        <v>399.5521013333334</v>
      </c>
      <c r="F11" s="43"/>
      <c r="G11" s="43"/>
      <c r="H11" s="43"/>
      <c r="I11" s="43">
        <f>XH!N8</f>
        <v>664.104</v>
      </c>
      <c r="J11" s="43"/>
      <c r="K11" s="43"/>
      <c r="L11" s="43"/>
      <c r="M11" s="40"/>
    </row>
    <row r="12" spans="1:13" s="44" customFormat="1" ht="16.5" customHeight="1">
      <c r="A12" s="41">
        <v>5</v>
      </c>
      <c r="B12" s="42" t="s">
        <v>31</v>
      </c>
      <c r="C12" s="40">
        <f t="shared" si="1"/>
        <v>507.1181360000001</v>
      </c>
      <c r="D12" s="43">
        <f>'HC'!N22</f>
        <v>362.06225600000005</v>
      </c>
      <c r="E12" s="43"/>
      <c r="F12" s="43"/>
      <c r="G12" s="43"/>
      <c r="H12" s="43"/>
      <c r="I12" s="43"/>
      <c r="J12" s="43">
        <f>KT!N13</f>
        <v>140.38921333333334</v>
      </c>
      <c r="K12" s="43">
        <f>MT!N14</f>
        <v>4.666666666666667</v>
      </c>
      <c r="L12" s="43"/>
      <c r="M12" s="40"/>
    </row>
    <row r="13" spans="1:13" s="44" customFormat="1" ht="16.5" customHeight="1">
      <c r="A13" s="41">
        <v>6</v>
      </c>
      <c r="B13" s="42" t="s">
        <v>134</v>
      </c>
      <c r="C13" s="40">
        <f t="shared" si="1"/>
        <v>678.3329725714286</v>
      </c>
      <c r="D13" s="43">
        <f>'HC'!N26</f>
        <v>124.69730590476193</v>
      </c>
      <c r="E13" s="43"/>
      <c r="F13" s="43"/>
      <c r="G13" s="43"/>
      <c r="H13" s="43"/>
      <c r="I13" s="43"/>
      <c r="J13" s="43">
        <f>KT!N30</f>
        <v>114.27566666666667</v>
      </c>
      <c r="K13" s="43">
        <f>MT!N8</f>
        <v>439.36000000000007</v>
      </c>
      <c r="L13" s="43"/>
      <c r="M13" s="40"/>
    </row>
    <row r="14" spans="1:13" s="44" customFormat="1" ht="16.5" customHeight="1">
      <c r="A14" s="41">
        <v>7</v>
      </c>
      <c r="B14" s="42" t="s">
        <v>97</v>
      </c>
      <c r="C14" s="40">
        <f t="shared" si="1"/>
        <v>4483.719873769982</v>
      </c>
      <c r="D14" s="43">
        <f>'HC'!N31</f>
        <v>130.57823733333333</v>
      </c>
      <c r="E14" s="43"/>
      <c r="F14" s="43">
        <f>YT!K7</f>
        <v>4116.6243031033155</v>
      </c>
      <c r="G14" s="43"/>
      <c r="H14" s="43"/>
      <c r="I14" s="43"/>
      <c r="J14" s="43">
        <f>KT!N48</f>
        <v>36.51733333333333</v>
      </c>
      <c r="K14" s="43">
        <f>MT!N13</f>
        <v>200</v>
      </c>
      <c r="L14" s="43"/>
      <c r="M14" s="40"/>
    </row>
    <row r="15" spans="1:13" s="44" customFormat="1" ht="16.5" customHeight="1">
      <c r="A15" s="41">
        <v>8</v>
      </c>
      <c r="B15" s="42" t="s">
        <v>24</v>
      </c>
      <c r="C15" s="40">
        <f t="shared" si="1"/>
        <v>704.085792</v>
      </c>
      <c r="D15" s="43">
        <f>'HC'!N35</f>
        <v>690.0087786666667</v>
      </c>
      <c r="E15" s="43"/>
      <c r="F15" s="43"/>
      <c r="G15" s="43"/>
      <c r="H15" s="43"/>
      <c r="I15" s="43"/>
      <c r="J15" s="43">
        <f>KT!N46</f>
        <v>14.077013333333333</v>
      </c>
      <c r="K15" s="43"/>
      <c r="L15" s="43"/>
      <c r="M15" s="40"/>
    </row>
    <row r="16" spans="1:13" s="44" customFormat="1" ht="16.5" customHeight="1">
      <c r="A16" s="41">
        <v>9</v>
      </c>
      <c r="B16" s="42" t="s">
        <v>91</v>
      </c>
      <c r="C16" s="40">
        <f t="shared" si="1"/>
        <v>251.4539050666667</v>
      </c>
      <c r="D16" s="43">
        <f>'HC'!N40</f>
        <v>186.54299040000004</v>
      </c>
      <c r="E16" s="43">
        <f>ĐT!H20</f>
        <v>51.859874666666656</v>
      </c>
      <c r="F16" s="43"/>
      <c r="G16" s="43"/>
      <c r="H16" s="43"/>
      <c r="I16" s="43"/>
      <c r="J16" s="43">
        <f>KT!N47</f>
        <v>13.05104</v>
      </c>
      <c r="K16" s="43"/>
      <c r="L16" s="43"/>
      <c r="M16" s="40"/>
    </row>
    <row r="17" spans="1:13" s="44" customFormat="1" ht="16.5" customHeight="1">
      <c r="A17" s="41">
        <v>10</v>
      </c>
      <c r="B17" s="42" t="s">
        <v>53</v>
      </c>
      <c r="C17" s="40">
        <f t="shared" si="1"/>
        <v>341.0629466666667</v>
      </c>
      <c r="D17" s="43">
        <f>'HC'!N43</f>
        <v>88.19594666666666</v>
      </c>
      <c r="E17" s="43"/>
      <c r="F17" s="43"/>
      <c r="G17" s="43"/>
      <c r="H17" s="43"/>
      <c r="I17" s="43"/>
      <c r="J17" s="43">
        <f>KT!N17</f>
        <v>252.86700000000002</v>
      </c>
      <c r="K17" s="43"/>
      <c r="L17" s="43"/>
      <c r="M17" s="40"/>
    </row>
    <row r="18" spans="1:13" s="44" customFormat="1" ht="16.5" customHeight="1">
      <c r="A18" s="41">
        <v>11</v>
      </c>
      <c r="B18" s="42" t="s">
        <v>225</v>
      </c>
      <c r="C18" s="40">
        <f t="shared" si="1"/>
        <v>322.4127493333333</v>
      </c>
      <c r="D18" s="43">
        <f>'HC'!N46</f>
        <v>57.24694933333333</v>
      </c>
      <c r="E18" s="43"/>
      <c r="F18" s="43"/>
      <c r="G18" s="43">
        <f>KHCN!N7</f>
        <v>265.1658</v>
      </c>
      <c r="H18" s="43"/>
      <c r="I18" s="43"/>
      <c r="J18" s="43"/>
      <c r="K18" s="43"/>
      <c r="L18" s="43"/>
      <c r="M18" s="40"/>
    </row>
    <row r="19" spans="1:13" s="44" customFormat="1" ht="16.5" customHeight="1">
      <c r="A19" s="41">
        <v>12</v>
      </c>
      <c r="B19" s="42" t="s">
        <v>25</v>
      </c>
      <c r="C19" s="40">
        <f t="shared" si="1"/>
        <v>125.68504742857142</v>
      </c>
      <c r="D19" s="43">
        <f>'HC'!N49</f>
        <v>105.15171409523809</v>
      </c>
      <c r="E19" s="43"/>
      <c r="F19" s="43"/>
      <c r="G19" s="43"/>
      <c r="H19" s="43"/>
      <c r="I19" s="43"/>
      <c r="J19" s="43">
        <f>KT!N24</f>
        <v>20.533333333333335</v>
      </c>
      <c r="K19" s="43"/>
      <c r="L19" s="43"/>
      <c r="M19" s="40"/>
    </row>
    <row r="20" spans="1:13" s="44" customFormat="1" ht="16.5" customHeight="1">
      <c r="A20" s="41">
        <v>13</v>
      </c>
      <c r="B20" s="42" t="s">
        <v>166</v>
      </c>
      <c r="C20" s="40">
        <f t="shared" si="1"/>
        <v>4188.737653333334</v>
      </c>
      <c r="D20" s="43">
        <f>'HC'!N52</f>
        <v>70.47373333333334</v>
      </c>
      <c r="E20" s="43">
        <f>'GD'!M7</f>
        <v>4118.26392</v>
      </c>
      <c r="F20" s="43"/>
      <c r="G20" s="43"/>
      <c r="H20" s="43"/>
      <c r="I20" s="43"/>
      <c r="J20" s="43"/>
      <c r="K20" s="43"/>
      <c r="L20" s="43"/>
      <c r="M20" s="40"/>
    </row>
    <row r="21" spans="1:13" s="44" customFormat="1" ht="16.5" customHeight="1">
      <c r="A21" s="41">
        <v>14</v>
      </c>
      <c r="B21" s="42" t="s">
        <v>36</v>
      </c>
      <c r="C21" s="40">
        <f t="shared" si="1"/>
        <v>285.20733333333334</v>
      </c>
      <c r="D21" s="43">
        <f>'HC'!N53</f>
        <v>285.20733333333334</v>
      </c>
      <c r="E21" s="43"/>
      <c r="F21" s="43"/>
      <c r="G21" s="43"/>
      <c r="H21" s="43"/>
      <c r="I21" s="43"/>
      <c r="J21" s="43"/>
      <c r="K21" s="43"/>
      <c r="L21" s="43"/>
      <c r="M21" s="40"/>
    </row>
    <row r="22" spans="1:13" s="44" customFormat="1" ht="16.5" customHeight="1">
      <c r="A22" s="41">
        <v>15</v>
      </c>
      <c r="B22" s="42" t="s">
        <v>95</v>
      </c>
      <c r="C22" s="40">
        <f t="shared" si="1"/>
        <v>296.91013333333336</v>
      </c>
      <c r="D22" s="43">
        <f>'HC'!N54</f>
        <v>67.98013333333334</v>
      </c>
      <c r="E22" s="43">
        <f>ĐT!H22</f>
        <v>13.333333333333336</v>
      </c>
      <c r="F22" s="43"/>
      <c r="G22" s="43"/>
      <c r="H22" s="43"/>
      <c r="I22" s="43"/>
      <c r="J22" s="43">
        <f>KT!N27</f>
        <v>202.26333333333335</v>
      </c>
      <c r="K22" s="43">
        <f>MT!N11</f>
        <v>13.333333333333336</v>
      </c>
      <c r="L22" s="43"/>
      <c r="M22" s="40"/>
    </row>
    <row r="23" spans="1:13" s="44" customFormat="1" ht="16.5" customHeight="1">
      <c r="A23" s="41">
        <v>16</v>
      </c>
      <c r="B23" s="42" t="s">
        <v>226</v>
      </c>
      <c r="C23" s="40">
        <f t="shared" si="1"/>
        <v>1393.260648018797</v>
      </c>
      <c r="D23" s="43">
        <f>'HC'!N55</f>
        <v>127.95693333333334</v>
      </c>
      <c r="E23" s="43">
        <f>ĐT!H12</f>
        <v>357.75002799999993</v>
      </c>
      <c r="F23" s="43"/>
      <c r="G23" s="43"/>
      <c r="H23" s="43">
        <f>'VH,TT,TPTH'!N9+'VH,TT,TPTH'!N18</f>
        <v>763.0077581140351</v>
      </c>
      <c r="I23" s="43"/>
      <c r="J23" s="43">
        <f>KT!N10</f>
        <v>144.54592857142856</v>
      </c>
      <c r="K23" s="43"/>
      <c r="L23" s="43"/>
      <c r="M23" s="40"/>
    </row>
    <row r="24" spans="1:13" s="44" customFormat="1" ht="16.5" customHeight="1">
      <c r="A24" s="41">
        <v>17</v>
      </c>
      <c r="B24" s="42" t="s">
        <v>103</v>
      </c>
      <c r="C24" s="40">
        <f t="shared" si="1"/>
        <v>180.7014266666667</v>
      </c>
      <c r="D24" s="43">
        <f>'HC'!N56</f>
        <v>133.5065066666667</v>
      </c>
      <c r="E24" s="43">
        <f>ĐT!H23</f>
        <v>20</v>
      </c>
      <c r="F24" s="43"/>
      <c r="G24" s="43"/>
      <c r="H24" s="43"/>
      <c r="I24" s="43"/>
      <c r="J24" s="43">
        <f>KT!N45</f>
        <v>27.194919999999996</v>
      </c>
      <c r="K24" s="43"/>
      <c r="L24" s="43"/>
      <c r="M24" s="40"/>
    </row>
    <row r="25" spans="1:13" s="44" customFormat="1" ht="16.5" customHeight="1">
      <c r="A25" s="41">
        <v>18</v>
      </c>
      <c r="B25" s="42" t="s">
        <v>26</v>
      </c>
      <c r="C25" s="40">
        <f t="shared" si="1"/>
        <v>109.31744000000002</v>
      </c>
      <c r="D25" s="43">
        <f>'HC'!N57</f>
        <v>109.31744000000002</v>
      </c>
      <c r="E25" s="43"/>
      <c r="F25" s="43"/>
      <c r="G25" s="43"/>
      <c r="H25" s="43"/>
      <c r="I25" s="43"/>
      <c r="J25" s="43"/>
      <c r="K25" s="43"/>
      <c r="L25" s="43"/>
      <c r="M25" s="40"/>
    </row>
    <row r="26" spans="1:13" s="44" customFormat="1" ht="16.5" customHeight="1">
      <c r="A26" s="41">
        <v>19</v>
      </c>
      <c r="B26" s="42" t="s">
        <v>30</v>
      </c>
      <c r="C26" s="40">
        <f t="shared" si="1"/>
        <v>214.80238666666668</v>
      </c>
      <c r="D26" s="43">
        <f>'HC'!N58</f>
        <v>121.87380000000002</v>
      </c>
      <c r="E26" s="43">
        <f>'GD'!M8</f>
        <v>6.666666666666668</v>
      </c>
      <c r="F26" s="43"/>
      <c r="G26" s="43"/>
      <c r="H26" s="43"/>
      <c r="I26" s="43">
        <f>XH!N21</f>
        <v>86.26192000000002</v>
      </c>
      <c r="J26" s="43">
        <f>KT!N34</f>
        <v>0</v>
      </c>
      <c r="K26" s="43"/>
      <c r="L26" s="43"/>
      <c r="M26" s="40"/>
    </row>
    <row r="27" spans="1:13" s="44" customFormat="1" ht="16.5" customHeight="1">
      <c r="A27" s="41">
        <v>20</v>
      </c>
      <c r="B27" s="42" t="s">
        <v>27</v>
      </c>
      <c r="C27" s="40">
        <f t="shared" si="1"/>
        <v>182.39697333333334</v>
      </c>
      <c r="D27" s="43">
        <f>'HC'!N59</f>
        <v>173.39697333333334</v>
      </c>
      <c r="E27" s="43"/>
      <c r="F27" s="43"/>
      <c r="G27" s="43"/>
      <c r="H27" s="43"/>
      <c r="I27" s="43"/>
      <c r="J27" s="43">
        <f>KT!N42</f>
        <v>9</v>
      </c>
      <c r="K27" s="43"/>
      <c r="L27" s="43"/>
      <c r="M27" s="40"/>
    </row>
    <row r="28" spans="1:13" s="44" customFormat="1" ht="16.5" customHeight="1">
      <c r="A28" s="71">
        <v>21</v>
      </c>
      <c r="B28" s="63" t="s">
        <v>41</v>
      </c>
      <c r="C28" s="114">
        <f t="shared" si="1"/>
        <v>102.63551733333334</v>
      </c>
      <c r="D28" s="77">
        <f>'HC'!N60</f>
        <v>85.90432000000001</v>
      </c>
      <c r="E28" s="77">
        <f>ĐT!H21</f>
        <v>16.73119733333333</v>
      </c>
      <c r="F28" s="77"/>
      <c r="G28" s="77"/>
      <c r="H28" s="77"/>
      <c r="I28" s="77"/>
      <c r="J28" s="77"/>
      <c r="K28" s="77"/>
      <c r="L28" s="77"/>
      <c r="M28" s="114"/>
    </row>
    <row r="29" spans="1:13" s="44" customFormat="1" ht="16.5" customHeight="1">
      <c r="A29" s="68">
        <v>22</v>
      </c>
      <c r="B29" s="70" t="s">
        <v>227</v>
      </c>
      <c r="C29" s="36">
        <f t="shared" si="1"/>
        <v>230.531908</v>
      </c>
      <c r="D29" s="94">
        <f>'HC'!N61</f>
        <v>230.531908</v>
      </c>
      <c r="E29" s="94"/>
      <c r="F29" s="94"/>
      <c r="G29" s="94"/>
      <c r="H29" s="94"/>
      <c r="I29" s="94"/>
      <c r="J29" s="94"/>
      <c r="K29" s="94"/>
      <c r="L29" s="94"/>
      <c r="M29" s="36"/>
    </row>
    <row r="30" spans="1:13" s="44" customFormat="1" ht="16.5" customHeight="1">
      <c r="A30" s="41">
        <v>23</v>
      </c>
      <c r="B30" s="42" t="s">
        <v>228</v>
      </c>
      <c r="C30" s="40">
        <f t="shared" si="1"/>
        <v>208.24552</v>
      </c>
      <c r="D30" s="43">
        <f>'HC'!N62</f>
        <v>61.37037333333334</v>
      </c>
      <c r="E30" s="43"/>
      <c r="F30" s="43"/>
      <c r="G30" s="43"/>
      <c r="H30" s="43">
        <f>'VH,TT,TPTH'!N17</f>
        <v>53</v>
      </c>
      <c r="I30" s="43"/>
      <c r="J30" s="43">
        <f>KT!N7</f>
        <v>93.87514666666667</v>
      </c>
      <c r="K30" s="43"/>
      <c r="L30" s="43"/>
      <c r="M30" s="40"/>
    </row>
    <row r="31" spans="1:13" s="44" customFormat="1" ht="16.5" customHeight="1">
      <c r="A31" s="41">
        <v>24</v>
      </c>
      <c r="B31" s="42" t="s">
        <v>229</v>
      </c>
      <c r="C31" s="40">
        <f t="shared" si="1"/>
        <v>98.15765866666666</v>
      </c>
      <c r="D31" s="43">
        <f>'HC'!N63</f>
        <v>98.15765866666666</v>
      </c>
      <c r="E31" s="43"/>
      <c r="F31" s="43"/>
      <c r="G31" s="43"/>
      <c r="H31" s="43"/>
      <c r="I31" s="43"/>
      <c r="J31" s="43"/>
      <c r="K31" s="43"/>
      <c r="L31" s="43"/>
      <c r="M31" s="40"/>
    </row>
    <row r="32" spans="1:13" s="44" customFormat="1" ht="16.5" customHeight="1">
      <c r="A32" s="41">
        <v>25</v>
      </c>
      <c r="B32" s="42" t="s">
        <v>135</v>
      </c>
      <c r="C32" s="40">
        <f t="shared" si="1"/>
        <v>40.048880000000004</v>
      </c>
      <c r="D32" s="43">
        <f>'HC'!N64</f>
        <v>30.71554666666667</v>
      </c>
      <c r="E32" s="43"/>
      <c r="F32" s="43"/>
      <c r="G32" s="43"/>
      <c r="H32" s="43"/>
      <c r="I32" s="43"/>
      <c r="J32" s="43">
        <f>KT!N40</f>
        <v>9.333333333333334</v>
      </c>
      <c r="K32" s="43"/>
      <c r="L32" s="43"/>
      <c r="M32" s="40"/>
    </row>
    <row r="33" spans="1:13" s="44" customFormat="1" ht="16.5" customHeight="1">
      <c r="A33" s="41">
        <v>26</v>
      </c>
      <c r="B33" s="42" t="s">
        <v>23</v>
      </c>
      <c r="C33" s="40">
        <f t="shared" si="1"/>
        <v>85.71302666666668</v>
      </c>
      <c r="D33" s="43">
        <f>'HC'!N65</f>
        <v>68.37969333333335</v>
      </c>
      <c r="E33" s="43"/>
      <c r="F33" s="43"/>
      <c r="G33" s="43"/>
      <c r="H33" s="43"/>
      <c r="I33" s="43"/>
      <c r="J33" s="43">
        <f>KT!N44</f>
        <v>17.333333333333336</v>
      </c>
      <c r="K33" s="43"/>
      <c r="L33" s="43"/>
      <c r="M33" s="40"/>
    </row>
    <row r="34" spans="1:13" s="44" customFormat="1" ht="16.5" customHeight="1">
      <c r="A34" s="41">
        <v>27</v>
      </c>
      <c r="B34" s="42" t="s">
        <v>136</v>
      </c>
      <c r="C34" s="40">
        <f t="shared" si="1"/>
        <v>120.88084000000002</v>
      </c>
      <c r="D34" s="43">
        <f>'HC'!N66</f>
        <v>75.86580000000001</v>
      </c>
      <c r="E34" s="43"/>
      <c r="F34" s="43"/>
      <c r="G34" s="43"/>
      <c r="H34" s="43"/>
      <c r="I34" s="43"/>
      <c r="J34" s="43">
        <f>KT!N41</f>
        <v>39.348373333333335</v>
      </c>
      <c r="K34" s="43">
        <f>MT!N12</f>
        <v>5.666666666666667</v>
      </c>
      <c r="L34" s="43"/>
      <c r="M34" s="40"/>
    </row>
    <row r="35" spans="1:13" s="44" customFormat="1" ht="16.5" customHeight="1">
      <c r="A35" s="41">
        <v>28</v>
      </c>
      <c r="B35" s="42" t="s">
        <v>42</v>
      </c>
      <c r="C35" s="40">
        <f t="shared" si="1"/>
        <v>47.782965333333344</v>
      </c>
      <c r="D35" s="43">
        <f>'HC'!N67</f>
        <v>47.782965333333344</v>
      </c>
      <c r="E35" s="43"/>
      <c r="F35" s="43"/>
      <c r="G35" s="43"/>
      <c r="H35" s="43"/>
      <c r="I35" s="43"/>
      <c r="J35" s="43"/>
      <c r="K35" s="43"/>
      <c r="L35" s="43"/>
      <c r="M35" s="40"/>
    </row>
    <row r="36" spans="1:13" s="44" customFormat="1" ht="16.5" customHeight="1">
      <c r="A36" s="41">
        <v>29</v>
      </c>
      <c r="B36" s="42" t="s">
        <v>85</v>
      </c>
      <c r="C36" s="40">
        <f t="shared" si="1"/>
        <v>41.24006666666667</v>
      </c>
      <c r="D36" s="43">
        <f>'HC'!N68</f>
        <v>41.24006666666667</v>
      </c>
      <c r="E36" s="43"/>
      <c r="F36" s="43"/>
      <c r="G36" s="43"/>
      <c r="H36" s="43"/>
      <c r="I36" s="43"/>
      <c r="J36" s="43"/>
      <c r="K36" s="43"/>
      <c r="L36" s="43"/>
      <c r="M36" s="40"/>
    </row>
    <row r="37" spans="1:13" s="44" customFormat="1" ht="16.5" customHeight="1">
      <c r="A37" s="41">
        <v>30</v>
      </c>
      <c r="B37" s="42" t="s">
        <v>230</v>
      </c>
      <c r="C37" s="40">
        <f t="shared" si="1"/>
        <v>27.587560000000003</v>
      </c>
      <c r="D37" s="43">
        <f>'HC'!N69</f>
        <v>27.587560000000003</v>
      </c>
      <c r="E37" s="43"/>
      <c r="F37" s="43"/>
      <c r="G37" s="43"/>
      <c r="H37" s="43"/>
      <c r="I37" s="43"/>
      <c r="J37" s="43"/>
      <c r="K37" s="43"/>
      <c r="L37" s="43"/>
      <c r="M37" s="40"/>
    </row>
    <row r="38" spans="1:13" s="44" customFormat="1" ht="16.5" customHeight="1">
      <c r="A38" s="41">
        <v>31</v>
      </c>
      <c r="B38" s="42" t="s">
        <v>32</v>
      </c>
      <c r="C38" s="40">
        <f t="shared" si="1"/>
        <v>710.5940666666667</v>
      </c>
      <c r="D38" s="43"/>
      <c r="E38" s="43">
        <f>ĐT!H7</f>
        <v>710.5940666666667</v>
      </c>
      <c r="F38" s="43"/>
      <c r="G38" s="43"/>
      <c r="H38" s="43"/>
      <c r="I38" s="43"/>
      <c r="J38" s="43"/>
      <c r="K38" s="43"/>
      <c r="L38" s="43"/>
      <c r="M38" s="40"/>
    </row>
    <row r="39" spans="1:13" s="44" customFormat="1" ht="16.5" customHeight="1">
      <c r="A39" s="41">
        <v>32</v>
      </c>
      <c r="B39" s="42" t="s">
        <v>231</v>
      </c>
      <c r="C39" s="40">
        <f t="shared" si="1"/>
        <v>425.73375733333336</v>
      </c>
      <c r="D39" s="43"/>
      <c r="E39" s="43">
        <f>ĐT!H8</f>
        <v>425.73375733333336</v>
      </c>
      <c r="F39" s="43"/>
      <c r="G39" s="43"/>
      <c r="H39" s="43"/>
      <c r="I39" s="43"/>
      <c r="J39" s="43"/>
      <c r="K39" s="43"/>
      <c r="L39" s="43"/>
      <c r="M39" s="40"/>
    </row>
    <row r="40" spans="1:13" s="44" customFormat="1" ht="16.5" customHeight="1">
      <c r="A40" s="41">
        <v>33</v>
      </c>
      <c r="B40" s="42" t="s">
        <v>132</v>
      </c>
      <c r="C40" s="40">
        <f t="shared" si="1"/>
        <v>0</v>
      </c>
      <c r="D40" s="43"/>
      <c r="E40" s="43">
        <f>ĐT!H9</f>
        <v>0</v>
      </c>
      <c r="F40" s="43"/>
      <c r="G40" s="43"/>
      <c r="H40" s="43"/>
      <c r="I40" s="43"/>
      <c r="J40" s="43"/>
      <c r="K40" s="43"/>
      <c r="L40" s="43"/>
      <c r="M40" s="40"/>
    </row>
    <row r="41" spans="1:13" s="44" customFormat="1" ht="16.5" customHeight="1">
      <c r="A41" s="41">
        <v>34</v>
      </c>
      <c r="B41" s="42" t="s">
        <v>117</v>
      </c>
      <c r="C41" s="40">
        <f t="shared" si="1"/>
        <v>321.17701600000004</v>
      </c>
      <c r="D41" s="43"/>
      <c r="E41" s="43">
        <f>ĐT!H10</f>
        <v>321.17701600000004</v>
      </c>
      <c r="F41" s="43"/>
      <c r="G41" s="43"/>
      <c r="H41" s="43"/>
      <c r="I41" s="43"/>
      <c r="J41" s="43"/>
      <c r="K41" s="43"/>
      <c r="L41" s="43"/>
      <c r="M41" s="40"/>
    </row>
    <row r="42" spans="1:13" s="44" customFormat="1" ht="16.5" customHeight="1">
      <c r="A42" s="41">
        <v>35</v>
      </c>
      <c r="B42" s="42" t="s">
        <v>163</v>
      </c>
      <c r="C42" s="40">
        <f t="shared" si="1"/>
        <v>210.8561046666666</v>
      </c>
      <c r="D42" s="43"/>
      <c r="E42" s="43">
        <f>ĐT!H11</f>
        <v>210.8561046666666</v>
      </c>
      <c r="F42" s="43"/>
      <c r="G42" s="43"/>
      <c r="H42" s="43"/>
      <c r="I42" s="43"/>
      <c r="J42" s="43"/>
      <c r="K42" s="43"/>
      <c r="L42" s="43"/>
      <c r="M42" s="40"/>
    </row>
    <row r="43" spans="1:13" s="44" customFormat="1" ht="16.5" customHeight="1">
      <c r="A43" s="41">
        <v>36</v>
      </c>
      <c r="B43" s="45" t="s">
        <v>162</v>
      </c>
      <c r="C43" s="40">
        <f t="shared" si="1"/>
        <v>80.97186666666667</v>
      </c>
      <c r="D43" s="43"/>
      <c r="E43" s="43">
        <f>ĐT!H24</f>
        <v>80.97186666666667</v>
      </c>
      <c r="F43" s="43"/>
      <c r="G43" s="43"/>
      <c r="H43" s="43"/>
      <c r="I43" s="43"/>
      <c r="J43" s="43"/>
      <c r="K43" s="43"/>
      <c r="L43" s="43"/>
      <c r="M43" s="40"/>
    </row>
    <row r="44" spans="1:13" s="44" customFormat="1" ht="16.5" customHeight="1">
      <c r="A44" s="41">
        <v>37</v>
      </c>
      <c r="B44" s="45" t="s">
        <v>232</v>
      </c>
      <c r="C44" s="40">
        <f t="shared" si="1"/>
        <v>172.04666666666665</v>
      </c>
      <c r="D44" s="43"/>
      <c r="E44" s="43"/>
      <c r="F44" s="43"/>
      <c r="G44" s="43"/>
      <c r="H44" s="43">
        <f>'VH,TT,TPTH'!N22</f>
        <v>172.04666666666665</v>
      </c>
      <c r="I44" s="43"/>
      <c r="J44" s="43"/>
      <c r="K44" s="43"/>
      <c r="L44" s="43"/>
      <c r="M44" s="40"/>
    </row>
    <row r="45" spans="1:13" s="44" customFormat="1" ht="16.5" customHeight="1">
      <c r="A45" s="41">
        <v>38</v>
      </c>
      <c r="B45" s="42" t="s">
        <v>131</v>
      </c>
      <c r="C45" s="40">
        <f t="shared" si="1"/>
        <v>282.36193333333335</v>
      </c>
      <c r="D45" s="43"/>
      <c r="E45" s="43"/>
      <c r="F45" s="43"/>
      <c r="G45" s="43"/>
      <c r="H45" s="43"/>
      <c r="I45" s="43"/>
      <c r="J45" s="43">
        <f>KT!N43</f>
        <v>282.36193333333335</v>
      </c>
      <c r="K45" s="43"/>
      <c r="L45" s="43"/>
      <c r="M45" s="40"/>
    </row>
    <row r="46" spans="1:13" s="44" customFormat="1" ht="16.5" customHeight="1">
      <c r="A46" s="41">
        <v>39</v>
      </c>
      <c r="B46" s="43" t="s">
        <v>171</v>
      </c>
      <c r="C46" s="40">
        <f t="shared" si="1"/>
        <v>513.2176213333333</v>
      </c>
      <c r="D46" s="43"/>
      <c r="E46" s="43">
        <f>ĐT!H25</f>
        <v>36.66666666666667</v>
      </c>
      <c r="F46" s="43"/>
      <c r="G46" s="43"/>
      <c r="H46" s="43"/>
      <c r="I46" s="43"/>
      <c r="J46" s="43"/>
      <c r="K46" s="43"/>
      <c r="L46" s="43">
        <f>'Các Hội'!N7</f>
        <v>476.5509546666667</v>
      </c>
      <c r="M46" s="40"/>
    </row>
    <row r="47" spans="1:13" s="44" customFormat="1" ht="16.5" customHeight="1">
      <c r="A47" s="41">
        <v>40</v>
      </c>
      <c r="B47" s="43" t="s">
        <v>137</v>
      </c>
      <c r="C47" s="40">
        <f>SUM(D47:L47)</f>
        <v>587</v>
      </c>
      <c r="D47" s="43">
        <v>587</v>
      </c>
      <c r="E47" s="43"/>
      <c r="F47" s="43"/>
      <c r="G47" s="43"/>
      <c r="H47" s="43"/>
      <c r="I47" s="43"/>
      <c r="J47" s="43"/>
      <c r="K47" s="43"/>
      <c r="L47" s="43"/>
      <c r="M47" s="40"/>
    </row>
    <row r="48" spans="1:13" ht="9" customHeight="1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</row>
    <row r="50" s="44" customFormat="1" ht="16.5" customHeight="1">
      <c r="B50" s="141" t="s">
        <v>195</v>
      </c>
    </row>
  </sheetData>
  <sheetProtection/>
  <mergeCells count="8">
    <mergeCell ref="M5:M6"/>
    <mergeCell ref="A1:M1"/>
    <mergeCell ref="A2:M2"/>
    <mergeCell ref="A3:M3"/>
    <mergeCell ref="D5:L5"/>
    <mergeCell ref="A5:A6"/>
    <mergeCell ref="B5:B6"/>
    <mergeCell ref="C5:C6"/>
  </mergeCells>
  <printOptions/>
  <pageMargins left="0.7" right="0.5" top="0.7" bottom="0.5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17"/>
  <sheetViews>
    <sheetView zoomScalePageLayoutView="0" workbookViewId="0" topLeftCell="A1">
      <selection activeCell="N4" sqref="N4:N6"/>
    </sheetView>
  </sheetViews>
  <sheetFormatPr defaultColWidth="9.09765625" defaultRowHeight="14.25"/>
  <cols>
    <col min="1" max="1" width="3.3984375" style="80" customWidth="1"/>
    <col min="2" max="2" width="36.69921875" style="54" customWidth="1"/>
    <col min="3" max="3" width="12.296875" style="67" hidden="1" customWidth="1"/>
    <col min="4" max="4" width="6.3984375" style="54" hidden="1" customWidth="1"/>
    <col min="5" max="5" width="7.09765625" style="54" hidden="1" customWidth="1"/>
    <col min="6" max="6" width="8.296875" style="54" hidden="1" customWidth="1"/>
    <col min="7" max="8" width="5.8984375" style="54" hidden="1" customWidth="1"/>
    <col min="9" max="9" width="7.69921875" style="54" hidden="1" customWidth="1"/>
    <col min="10" max="10" width="5.3984375" style="54" hidden="1" customWidth="1"/>
    <col min="11" max="11" width="7.3984375" style="54" hidden="1" customWidth="1"/>
    <col min="12" max="13" width="6.8984375" style="54" hidden="1" customWidth="1"/>
    <col min="14" max="14" width="12.8984375" style="54" customWidth="1"/>
    <col min="15" max="15" width="50" style="80" customWidth="1"/>
    <col min="16" max="16384" width="9.09765625" style="54" customWidth="1"/>
  </cols>
  <sheetData>
    <row r="1" spans="1:15" ht="33" customHeight="1">
      <c r="A1" s="177" t="s">
        <v>275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</row>
    <row r="2" spans="1:15" s="46" customFormat="1" ht="14.25" customHeight="1">
      <c r="A2" s="81"/>
      <c r="B2" s="81"/>
      <c r="C2" s="125"/>
      <c r="G2" s="208"/>
      <c r="H2" s="208"/>
      <c r="J2" s="50"/>
      <c r="L2" s="50"/>
      <c r="O2" s="50"/>
    </row>
    <row r="3" spans="1:15" ht="16.5" customHeight="1">
      <c r="A3" s="85"/>
      <c r="B3" s="85"/>
      <c r="C3" s="37"/>
      <c r="D3" s="44"/>
      <c r="E3" s="44"/>
      <c r="F3" s="44"/>
      <c r="G3" s="190"/>
      <c r="H3" s="190"/>
      <c r="I3" s="190"/>
      <c r="J3" s="51"/>
      <c r="K3" s="44"/>
      <c r="L3" s="190" t="s">
        <v>29</v>
      </c>
      <c r="M3" s="190"/>
      <c r="O3" s="50" t="s">
        <v>29</v>
      </c>
    </row>
    <row r="4" spans="1:15" ht="14.25" customHeight="1">
      <c r="A4" s="166" t="s">
        <v>20</v>
      </c>
      <c r="B4" s="166" t="s">
        <v>21</v>
      </c>
      <c r="C4" s="171" t="s">
        <v>187</v>
      </c>
      <c r="D4" s="160" t="s">
        <v>3</v>
      </c>
      <c r="E4" s="161"/>
      <c r="F4" s="161"/>
      <c r="G4" s="161"/>
      <c r="H4" s="161"/>
      <c r="I4" s="161"/>
      <c r="J4" s="161"/>
      <c r="K4" s="161"/>
      <c r="L4" s="161"/>
      <c r="M4" s="162"/>
      <c r="N4" s="150" t="s">
        <v>277</v>
      </c>
      <c r="O4" s="150" t="s">
        <v>179</v>
      </c>
    </row>
    <row r="5" spans="1:15" ht="14.25" customHeight="1">
      <c r="A5" s="166"/>
      <c r="B5" s="166"/>
      <c r="C5" s="171"/>
      <c r="D5" s="160" t="s">
        <v>149</v>
      </c>
      <c r="E5" s="161"/>
      <c r="F5" s="162"/>
      <c r="G5" s="163" t="s">
        <v>150</v>
      </c>
      <c r="H5" s="163"/>
      <c r="I5" s="163"/>
      <c r="J5" s="158" t="s">
        <v>149</v>
      </c>
      <c r="K5" s="159"/>
      <c r="L5" s="158" t="s">
        <v>150</v>
      </c>
      <c r="M5" s="159"/>
      <c r="N5" s="151"/>
      <c r="O5" s="151"/>
    </row>
    <row r="6" spans="1:15" ht="44.25" customHeight="1">
      <c r="A6" s="166"/>
      <c r="B6" s="166"/>
      <c r="C6" s="171"/>
      <c r="D6" s="53" t="s">
        <v>114</v>
      </c>
      <c r="E6" s="53" t="s">
        <v>122</v>
      </c>
      <c r="F6" s="53" t="s">
        <v>158</v>
      </c>
      <c r="G6" s="53" t="s">
        <v>151</v>
      </c>
      <c r="H6" s="53" t="s">
        <v>157</v>
      </c>
      <c r="I6" s="53" t="s">
        <v>158</v>
      </c>
      <c r="J6" s="53" t="s">
        <v>81</v>
      </c>
      <c r="K6" s="53" t="s">
        <v>125</v>
      </c>
      <c r="L6" s="53" t="s">
        <v>81</v>
      </c>
      <c r="M6" s="53" t="s">
        <v>125</v>
      </c>
      <c r="N6" s="152"/>
      <c r="O6" s="152"/>
    </row>
    <row r="7" spans="1:15" ht="18" customHeight="1">
      <c r="A7" s="34"/>
      <c r="B7" s="34" t="s">
        <v>22</v>
      </c>
      <c r="C7" s="35">
        <f aca="true" t="shared" si="0" ref="C7:N7">SUM(C9:C14)</f>
        <v>9945.4</v>
      </c>
      <c r="D7" s="35">
        <f t="shared" si="0"/>
        <v>66.2</v>
      </c>
      <c r="E7" s="35">
        <f t="shared" si="0"/>
        <v>-2.2</v>
      </c>
      <c r="F7" s="35">
        <f t="shared" si="0"/>
        <v>-0.22</v>
      </c>
      <c r="G7" s="35">
        <f t="shared" si="0"/>
        <v>6.62</v>
      </c>
      <c r="H7" s="35">
        <f t="shared" si="0"/>
        <v>0</v>
      </c>
      <c r="I7" s="35">
        <f t="shared" si="0"/>
        <v>0</v>
      </c>
      <c r="J7" s="35">
        <f t="shared" si="0"/>
        <v>250</v>
      </c>
      <c r="K7" s="35">
        <f t="shared" si="0"/>
        <v>16908</v>
      </c>
      <c r="L7" s="35">
        <f t="shared" si="0"/>
        <v>-220</v>
      </c>
      <c r="M7" s="35">
        <f t="shared" si="0"/>
        <v>4470</v>
      </c>
      <c r="N7" s="35">
        <f t="shared" si="0"/>
        <v>663.0266666666668</v>
      </c>
      <c r="O7" s="35"/>
    </row>
    <row r="8" spans="1:15" ht="18" customHeight="1">
      <c r="A8" s="41">
        <v>1</v>
      </c>
      <c r="B8" s="103" t="s">
        <v>236</v>
      </c>
      <c r="C8" s="35">
        <f>C9+C10</f>
        <v>6590.4</v>
      </c>
      <c r="D8" s="70">
        <f aca="true" t="shared" si="1" ref="D8:N8">D9+D10</f>
        <v>66.2</v>
      </c>
      <c r="E8" s="70">
        <f t="shared" si="1"/>
        <v>-2.2</v>
      </c>
      <c r="F8" s="70">
        <f t="shared" si="1"/>
        <v>-0.22</v>
      </c>
      <c r="G8" s="70">
        <f t="shared" si="1"/>
        <v>6.62</v>
      </c>
      <c r="H8" s="70">
        <f t="shared" si="1"/>
        <v>0</v>
      </c>
      <c r="I8" s="70">
        <f t="shared" si="1"/>
        <v>0</v>
      </c>
      <c r="J8" s="70">
        <f t="shared" si="1"/>
        <v>250</v>
      </c>
      <c r="K8" s="70">
        <f t="shared" si="1"/>
        <v>11508</v>
      </c>
      <c r="L8" s="70">
        <f t="shared" si="1"/>
        <v>-220</v>
      </c>
      <c r="M8" s="70">
        <f t="shared" si="1"/>
        <v>6515</v>
      </c>
      <c r="N8" s="35">
        <f t="shared" si="1"/>
        <v>439.36000000000007</v>
      </c>
      <c r="O8" s="142"/>
    </row>
    <row r="9" spans="1:15" ht="18" customHeight="1">
      <c r="A9" s="41"/>
      <c r="B9" s="42" t="s">
        <v>255</v>
      </c>
      <c r="C9" s="70">
        <f>SUM(D9:M9)</f>
        <v>100.4</v>
      </c>
      <c r="D9" s="70">
        <v>66.2</v>
      </c>
      <c r="E9" s="70">
        <v>-2.2</v>
      </c>
      <c r="F9" s="70">
        <v>-0.22</v>
      </c>
      <c r="G9" s="70">
        <v>6.62</v>
      </c>
      <c r="H9" s="70">
        <v>0</v>
      </c>
      <c r="I9" s="70">
        <v>0</v>
      </c>
      <c r="J9" s="70">
        <v>30</v>
      </c>
      <c r="K9" s="70">
        <v>0</v>
      </c>
      <c r="L9" s="70"/>
      <c r="M9" s="70"/>
      <c r="N9" s="70">
        <f aca="true" t="shared" si="2" ref="N9:N14">C9/12*8*0.1</f>
        <v>6.693333333333334</v>
      </c>
      <c r="O9" s="206" t="s">
        <v>220</v>
      </c>
    </row>
    <row r="10" spans="1:15" ht="18" customHeight="1">
      <c r="A10" s="95"/>
      <c r="B10" s="107" t="s">
        <v>256</v>
      </c>
      <c r="C10" s="70">
        <f>SUM(D10:M10)-10000-449-254-830</f>
        <v>6490</v>
      </c>
      <c r="D10" s="126">
        <v>0</v>
      </c>
      <c r="E10" s="126">
        <v>0</v>
      </c>
      <c r="F10" s="126">
        <v>0</v>
      </c>
      <c r="G10" s="126">
        <v>0</v>
      </c>
      <c r="H10" s="126">
        <v>0</v>
      </c>
      <c r="I10" s="126">
        <v>0</v>
      </c>
      <c r="J10" s="126">
        <v>220</v>
      </c>
      <c r="K10" s="126">
        <v>11508</v>
      </c>
      <c r="L10" s="126">
        <v>-220</v>
      </c>
      <c r="M10" s="126">
        <v>6515</v>
      </c>
      <c r="N10" s="70">
        <f t="shared" si="2"/>
        <v>432.66666666666674</v>
      </c>
      <c r="O10" s="207"/>
    </row>
    <row r="11" spans="1:15" ht="18" customHeight="1">
      <c r="A11" s="41">
        <v>2</v>
      </c>
      <c r="B11" s="57" t="s">
        <v>257</v>
      </c>
      <c r="C11" s="35">
        <f>SUM(D11:M11)</f>
        <v>200</v>
      </c>
      <c r="D11" s="70">
        <v>0</v>
      </c>
      <c r="E11" s="70">
        <v>0</v>
      </c>
      <c r="F11" s="70">
        <v>0</v>
      </c>
      <c r="G11" s="70">
        <v>0</v>
      </c>
      <c r="H11" s="70">
        <v>0</v>
      </c>
      <c r="I11" s="70">
        <v>0</v>
      </c>
      <c r="J11" s="70">
        <v>0</v>
      </c>
      <c r="K11" s="70">
        <v>80</v>
      </c>
      <c r="L11" s="70"/>
      <c r="M11" s="70">
        <v>120</v>
      </c>
      <c r="N11" s="35">
        <f t="shared" si="2"/>
        <v>13.333333333333336</v>
      </c>
      <c r="O11" s="35"/>
    </row>
    <row r="12" spans="1:15" ht="18" customHeight="1">
      <c r="A12" s="41">
        <v>3</v>
      </c>
      <c r="B12" s="57" t="s">
        <v>164</v>
      </c>
      <c r="C12" s="35">
        <f>SUM(D12:M12)</f>
        <v>85</v>
      </c>
      <c r="D12" s="70">
        <v>0</v>
      </c>
      <c r="E12" s="70">
        <v>0</v>
      </c>
      <c r="F12" s="70">
        <v>0</v>
      </c>
      <c r="G12" s="70">
        <v>0</v>
      </c>
      <c r="H12" s="70">
        <v>0</v>
      </c>
      <c r="I12" s="70">
        <v>0</v>
      </c>
      <c r="J12" s="70">
        <v>0</v>
      </c>
      <c r="K12" s="70">
        <v>1050</v>
      </c>
      <c r="L12" s="70"/>
      <c r="M12" s="70">
        <v>-965</v>
      </c>
      <c r="N12" s="35">
        <f t="shared" si="2"/>
        <v>5.666666666666667</v>
      </c>
      <c r="O12" s="35"/>
    </row>
    <row r="13" spans="1:15" ht="18" customHeight="1">
      <c r="A13" s="41">
        <v>4</v>
      </c>
      <c r="B13" s="57" t="s">
        <v>97</v>
      </c>
      <c r="C13" s="35">
        <f>SUM(D13:M13)</f>
        <v>3000</v>
      </c>
      <c r="D13" s="70">
        <v>0</v>
      </c>
      <c r="E13" s="70">
        <v>0</v>
      </c>
      <c r="F13" s="70">
        <v>0</v>
      </c>
      <c r="G13" s="70">
        <v>0</v>
      </c>
      <c r="H13" s="70">
        <v>0</v>
      </c>
      <c r="I13" s="70">
        <v>0</v>
      </c>
      <c r="J13" s="70">
        <v>0</v>
      </c>
      <c r="K13" s="70">
        <v>4200</v>
      </c>
      <c r="L13" s="70"/>
      <c r="M13" s="70">
        <v>-1200</v>
      </c>
      <c r="N13" s="35">
        <f t="shared" si="2"/>
        <v>200</v>
      </c>
      <c r="O13" s="35"/>
    </row>
    <row r="14" spans="1:15" ht="18" customHeight="1">
      <c r="A14" s="41">
        <v>5</v>
      </c>
      <c r="B14" s="57" t="s">
        <v>235</v>
      </c>
      <c r="C14" s="35">
        <f>SUM(D14:M14)</f>
        <v>70</v>
      </c>
      <c r="D14" s="70">
        <v>0</v>
      </c>
      <c r="E14" s="70">
        <v>0</v>
      </c>
      <c r="F14" s="70">
        <v>0</v>
      </c>
      <c r="G14" s="70">
        <v>0</v>
      </c>
      <c r="H14" s="70">
        <v>0</v>
      </c>
      <c r="I14" s="70">
        <v>0</v>
      </c>
      <c r="J14" s="70">
        <v>0</v>
      </c>
      <c r="K14" s="70">
        <v>70</v>
      </c>
      <c r="L14" s="70"/>
      <c r="M14" s="70"/>
      <c r="N14" s="35">
        <f t="shared" si="2"/>
        <v>4.666666666666667</v>
      </c>
      <c r="O14" s="35"/>
    </row>
    <row r="15" spans="1:15" ht="18" customHeight="1">
      <c r="A15" s="101"/>
      <c r="B15" s="78"/>
      <c r="C15" s="127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128"/>
      <c r="O15" s="128"/>
    </row>
    <row r="16" ht="13.5">
      <c r="C16" s="37"/>
    </row>
    <row r="17" spans="1:3" ht="13.5">
      <c r="A17" s="54"/>
      <c r="C17" s="44"/>
    </row>
  </sheetData>
  <sheetProtection/>
  <mergeCells count="15">
    <mergeCell ref="G5:I5"/>
    <mergeCell ref="N4:N6"/>
    <mergeCell ref="J5:K5"/>
    <mergeCell ref="L5:M5"/>
    <mergeCell ref="D4:M4"/>
    <mergeCell ref="O9:O10"/>
    <mergeCell ref="A1:O1"/>
    <mergeCell ref="G2:H2"/>
    <mergeCell ref="L3:M3"/>
    <mergeCell ref="G3:I3"/>
    <mergeCell ref="A4:A6"/>
    <mergeCell ref="B4:B6"/>
    <mergeCell ref="O4:O6"/>
    <mergeCell ref="C4:C6"/>
    <mergeCell ref="D5:F5"/>
  </mergeCells>
  <printOptions/>
  <pageMargins left="0.7" right="0.5" top="0.7" bottom="0.5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29"/>
  <sheetViews>
    <sheetView zoomScalePageLayoutView="0" workbookViewId="0" topLeftCell="A1">
      <selection activeCell="N4" sqref="N4:N6"/>
    </sheetView>
  </sheetViews>
  <sheetFormatPr defaultColWidth="9.09765625" defaultRowHeight="14.25"/>
  <cols>
    <col min="1" max="1" width="4" style="64" customWidth="1"/>
    <col min="2" max="2" width="34" style="54" customWidth="1"/>
    <col min="3" max="3" width="14.3984375" style="54" hidden="1" customWidth="1"/>
    <col min="4" max="4" width="6.69921875" style="54" hidden="1" customWidth="1"/>
    <col min="5" max="5" width="6.59765625" style="54" hidden="1" customWidth="1"/>
    <col min="6" max="6" width="9.09765625" style="54" hidden="1" customWidth="1"/>
    <col min="7" max="7" width="5.59765625" style="54" hidden="1" customWidth="1"/>
    <col min="8" max="8" width="6.296875" style="54" hidden="1" customWidth="1"/>
    <col min="9" max="9" width="7.59765625" style="54" hidden="1" customWidth="1"/>
    <col min="10" max="11" width="5.3984375" style="54" hidden="1" customWidth="1"/>
    <col min="12" max="12" width="5.09765625" style="54" hidden="1" customWidth="1"/>
    <col min="13" max="13" width="3.296875" style="54" hidden="1" customWidth="1"/>
    <col min="14" max="14" width="13.09765625" style="54" customWidth="1"/>
    <col min="15" max="15" width="52.3984375" style="54" customWidth="1"/>
    <col min="16" max="16384" width="9.09765625" style="54" customWidth="1"/>
  </cols>
  <sheetData>
    <row r="1" spans="1:15" s="14" customFormat="1" ht="30" customHeight="1">
      <c r="A1" s="177" t="s">
        <v>276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</row>
    <row r="2" spans="1:13" s="46" customFormat="1" ht="13.5">
      <c r="A2" s="47"/>
      <c r="C2" s="125"/>
      <c r="F2" s="129"/>
      <c r="G2" s="189"/>
      <c r="H2" s="189"/>
      <c r="I2" s="189"/>
      <c r="J2" s="50"/>
      <c r="L2" s="209"/>
      <c r="M2" s="209"/>
    </row>
    <row r="3" spans="3:15" ht="13.5">
      <c r="C3" s="37"/>
      <c r="D3" s="44"/>
      <c r="E3" s="44"/>
      <c r="F3" s="30"/>
      <c r="G3" s="188"/>
      <c r="H3" s="188"/>
      <c r="I3" s="188"/>
      <c r="J3" s="51"/>
      <c r="K3" s="44"/>
      <c r="L3" s="130" t="s">
        <v>29</v>
      </c>
      <c r="M3" s="130"/>
      <c r="O3" s="50" t="s">
        <v>29</v>
      </c>
    </row>
    <row r="4" spans="1:15" ht="13.5" customHeight="1">
      <c r="A4" s="166" t="s">
        <v>20</v>
      </c>
      <c r="B4" s="166" t="s">
        <v>21</v>
      </c>
      <c r="C4" s="171" t="s">
        <v>187</v>
      </c>
      <c r="D4" s="160" t="s">
        <v>3</v>
      </c>
      <c r="E4" s="161"/>
      <c r="F4" s="161"/>
      <c r="G4" s="161"/>
      <c r="H4" s="161"/>
      <c r="I4" s="161"/>
      <c r="J4" s="161"/>
      <c r="K4" s="161"/>
      <c r="L4" s="161"/>
      <c r="M4" s="162"/>
      <c r="N4" s="150" t="s">
        <v>277</v>
      </c>
      <c r="O4" s="150" t="s">
        <v>179</v>
      </c>
    </row>
    <row r="5" spans="1:15" ht="21" customHeight="1">
      <c r="A5" s="166"/>
      <c r="B5" s="166"/>
      <c r="C5" s="171"/>
      <c r="D5" s="160" t="s">
        <v>149</v>
      </c>
      <c r="E5" s="161"/>
      <c r="F5" s="162"/>
      <c r="G5" s="163" t="s">
        <v>150</v>
      </c>
      <c r="H5" s="163"/>
      <c r="I5" s="163"/>
      <c r="J5" s="158" t="s">
        <v>149</v>
      </c>
      <c r="K5" s="159"/>
      <c r="L5" s="158" t="s">
        <v>150</v>
      </c>
      <c r="M5" s="159"/>
      <c r="N5" s="151"/>
      <c r="O5" s="151"/>
    </row>
    <row r="6" spans="1:15" ht="36" customHeight="1">
      <c r="A6" s="166"/>
      <c r="B6" s="166"/>
      <c r="C6" s="171"/>
      <c r="D6" s="53" t="s">
        <v>114</v>
      </c>
      <c r="E6" s="53" t="s">
        <v>122</v>
      </c>
      <c r="F6" s="53" t="s">
        <v>123</v>
      </c>
      <c r="G6" s="53" t="s">
        <v>151</v>
      </c>
      <c r="H6" s="53" t="s">
        <v>161</v>
      </c>
      <c r="I6" s="53" t="s">
        <v>159</v>
      </c>
      <c r="J6" s="53" t="s">
        <v>81</v>
      </c>
      <c r="K6" s="53" t="s">
        <v>87</v>
      </c>
      <c r="L6" s="53" t="s">
        <v>81</v>
      </c>
      <c r="M6" s="53" t="s">
        <v>87</v>
      </c>
      <c r="N6" s="152"/>
      <c r="O6" s="152"/>
    </row>
    <row r="7" spans="1:15" s="67" customFormat="1" ht="18" customHeight="1">
      <c r="A7" s="34"/>
      <c r="B7" s="131" t="s">
        <v>22</v>
      </c>
      <c r="C7" s="35">
        <f aca="true" t="shared" si="0" ref="C7:N7">SUM(C8:C26)</f>
        <v>7148.264319999999</v>
      </c>
      <c r="D7" s="35">
        <f t="shared" si="0"/>
        <v>2314.3680000000004</v>
      </c>
      <c r="E7" s="35">
        <f t="shared" si="0"/>
        <v>-164.384</v>
      </c>
      <c r="F7" s="35">
        <f t="shared" si="0"/>
        <v>-52.45279999999999</v>
      </c>
      <c r="G7" s="35">
        <f t="shared" si="0"/>
        <v>231.4368</v>
      </c>
      <c r="H7" s="35">
        <f t="shared" si="0"/>
        <v>0</v>
      </c>
      <c r="I7" s="35">
        <f t="shared" si="0"/>
        <v>-22.703680000000002</v>
      </c>
      <c r="J7" s="35">
        <f t="shared" si="0"/>
        <v>777</v>
      </c>
      <c r="K7" s="35">
        <f t="shared" si="0"/>
        <v>3788</v>
      </c>
      <c r="L7" s="35">
        <f t="shared" si="0"/>
        <v>-138</v>
      </c>
      <c r="M7" s="35">
        <f t="shared" si="0"/>
        <v>589</v>
      </c>
      <c r="N7" s="35">
        <f t="shared" si="0"/>
        <v>476.5509546666667</v>
      </c>
      <c r="O7" s="35"/>
    </row>
    <row r="8" spans="1:15" ht="18" customHeight="1">
      <c r="A8" s="41">
        <v>1</v>
      </c>
      <c r="B8" s="58" t="s">
        <v>102</v>
      </c>
      <c r="C8" s="39">
        <f>SUM(D8:M8)</f>
        <v>623.7238</v>
      </c>
      <c r="D8" s="42">
        <v>289.62</v>
      </c>
      <c r="E8" s="42">
        <v>-21.98</v>
      </c>
      <c r="F8" s="42">
        <v>-6.981999999999999</v>
      </c>
      <c r="G8" s="42">
        <v>28.962000000000003</v>
      </c>
      <c r="H8" s="42">
        <v>0</v>
      </c>
      <c r="I8" s="42">
        <v>-2.8962000000000003</v>
      </c>
      <c r="J8" s="42">
        <v>130</v>
      </c>
      <c r="K8" s="42">
        <v>207</v>
      </c>
      <c r="L8" s="42">
        <v>-70</v>
      </c>
      <c r="M8" s="42">
        <v>70</v>
      </c>
      <c r="N8" s="39">
        <f aca="true" t="shared" si="1" ref="N8:N25">C8/12*8*0.1</f>
        <v>41.58158666666667</v>
      </c>
      <c r="O8" s="39"/>
    </row>
    <row r="9" spans="1:15" ht="18" customHeight="1">
      <c r="A9" s="41">
        <v>2</v>
      </c>
      <c r="B9" s="57" t="s">
        <v>112</v>
      </c>
      <c r="C9" s="39">
        <f aca="true" t="shared" si="2" ref="C9:C26">SUM(D9:M9)</f>
        <v>131.18048</v>
      </c>
      <c r="D9" s="42">
        <v>97.152</v>
      </c>
      <c r="E9" s="42">
        <v>-8.831999999999999</v>
      </c>
      <c r="F9" s="42">
        <v>-0.8832000000000009</v>
      </c>
      <c r="G9" s="42">
        <v>9.715200000000001</v>
      </c>
      <c r="H9" s="42">
        <v>0</v>
      </c>
      <c r="I9" s="42">
        <v>-0.9715200000000002</v>
      </c>
      <c r="J9" s="42">
        <v>20</v>
      </c>
      <c r="K9" s="42">
        <v>15</v>
      </c>
      <c r="L9" s="42"/>
      <c r="M9" s="42"/>
      <c r="N9" s="39">
        <f t="shared" si="1"/>
        <v>8.745365333333332</v>
      </c>
      <c r="O9" s="39"/>
    </row>
    <row r="10" spans="1:15" ht="18" customHeight="1">
      <c r="A10" s="41">
        <v>3</v>
      </c>
      <c r="B10" s="57" t="s">
        <v>100</v>
      </c>
      <c r="C10" s="39">
        <f t="shared" si="2"/>
        <v>96.18048</v>
      </c>
      <c r="D10" s="42">
        <v>97.152</v>
      </c>
      <c r="E10" s="42">
        <v>-8.831999999999999</v>
      </c>
      <c r="F10" s="42">
        <v>-0.8832000000000009</v>
      </c>
      <c r="G10" s="42">
        <v>9.715200000000001</v>
      </c>
      <c r="H10" s="42">
        <v>0</v>
      </c>
      <c r="I10" s="42">
        <v>-0.9715200000000002</v>
      </c>
      <c r="J10" s="42">
        <v>0</v>
      </c>
      <c r="K10" s="42">
        <v>0</v>
      </c>
      <c r="L10" s="42"/>
      <c r="M10" s="42"/>
      <c r="N10" s="39">
        <f t="shared" si="1"/>
        <v>6.412032000000001</v>
      </c>
      <c r="O10" s="39"/>
    </row>
    <row r="11" spans="1:15" ht="18" customHeight="1">
      <c r="A11" s="41">
        <v>4</v>
      </c>
      <c r="B11" s="58" t="s">
        <v>258</v>
      </c>
      <c r="C11" s="39">
        <f>SUM(D11:M11)-60</f>
        <v>134.72320000000002</v>
      </c>
      <c r="D11" s="42">
        <v>95.68</v>
      </c>
      <c r="E11" s="42">
        <v>-6.416</v>
      </c>
      <c r="F11" s="42">
        <v>-3.1519999999999997</v>
      </c>
      <c r="G11" s="42">
        <v>9.568000000000001</v>
      </c>
      <c r="H11" s="42">
        <v>0</v>
      </c>
      <c r="I11" s="42">
        <v>-0.9568000000000002</v>
      </c>
      <c r="J11" s="42">
        <v>80</v>
      </c>
      <c r="K11" s="42">
        <v>0</v>
      </c>
      <c r="L11" s="42"/>
      <c r="M11" s="42">
        <v>20</v>
      </c>
      <c r="N11" s="39">
        <f>C11/12*8*0.1</f>
        <v>8.981546666666668</v>
      </c>
      <c r="O11" s="42" t="s">
        <v>209</v>
      </c>
    </row>
    <row r="12" spans="1:15" ht="18" customHeight="1">
      <c r="A12" s="41">
        <v>5</v>
      </c>
      <c r="B12" s="58" t="s">
        <v>108</v>
      </c>
      <c r="C12" s="39">
        <f t="shared" si="2"/>
        <v>204.7232</v>
      </c>
      <c r="D12" s="42">
        <v>95.68</v>
      </c>
      <c r="E12" s="42">
        <v>-4.516</v>
      </c>
      <c r="F12" s="42">
        <v>-5.052</v>
      </c>
      <c r="G12" s="42">
        <v>9.568000000000001</v>
      </c>
      <c r="H12" s="42">
        <v>0</v>
      </c>
      <c r="I12" s="42">
        <v>-0.9568000000000002</v>
      </c>
      <c r="J12" s="42">
        <v>0</v>
      </c>
      <c r="K12" s="42">
        <v>70</v>
      </c>
      <c r="L12" s="42">
        <v>40</v>
      </c>
      <c r="M12" s="42"/>
      <c r="N12" s="39">
        <f t="shared" si="1"/>
        <v>13.648213333333334</v>
      </c>
      <c r="O12" s="39"/>
    </row>
    <row r="13" spans="1:15" ht="18" customHeight="1">
      <c r="A13" s="41">
        <v>6</v>
      </c>
      <c r="B13" s="58" t="s">
        <v>260</v>
      </c>
      <c r="C13" s="39">
        <f t="shared" si="2"/>
        <v>124.7232</v>
      </c>
      <c r="D13" s="42">
        <v>95.68</v>
      </c>
      <c r="E13" s="42">
        <v>-4.4159999999999995</v>
      </c>
      <c r="F13" s="42">
        <v>-5.152</v>
      </c>
      <c r="G13" s="42">
        <v>9.568000000000001</v>
      </c>
      <c r="H13" s="42">
        <v>0</v>
      </c>
      <c r="I13" s="42">
        <v>-0.9568000000000002</v>
      </c>
      <c r="J13" s="42">
        <v>10</v>
      </c>
      <c r="K13" s="42">
        <v>0</v>
      </c>
      <c r="L13" s="42">
        <v>20</v>
      </c>
      <c r="M13" s="42"/>
      <c r="N13" s="39">
        <f t="shared" si="1"/>
        <v>8.31488</v>
      </c>
      <c r="O13" s="39"/>
    </row>
    <row r="14" spans="1:15" ht="18" customHeight="1">
      <c r="A14" s="41">
        <v>7</v>
      </c>
      <c r="B14" s="132" t="s">
        <v>74</v>
      </c>
      <c r="C14" s="39">
        <f>SUM(D14:M14)-42</f>
        <v>134.72320000000002</v>
      </c>
      <c r="D14" s="42">
        <v>95.68</v>
      </c>
      <c r="E14" s="42">
        <v>-4.4159999999999995</v>
      </c>
      <c r="F14" s="42">
        <v>-5.152</v>
      </c>
      <c r="G14" s="42">
        <v>9.568000000000001</v>
      </c>
      <c r="H14" s="42">
        <v>0</v>
      </c>
      <c r="I14" s="42">
        <v>-0.9568000000000002</v>
      </c>
      <c r="J14" s="42">
        <v>20</v>
      </c>
      <c r="K14" s="42">
        <v>0</v>
      </c>
      <c r="L14" s="42">
        <v>42</v>
      </c>
      <c r="M14" s="42">
        <v>20</v>
      </c>
      <c r="N14" s="39">
        <f>C14/12*8*0.1</f>
        <v>8.981546666666668</v>
      </c>
      <c r="O14" s="42" t="s">
        <v>221</v>
      </c>
    </row>
    <row r="15" spans="1:15" ht="18" customHeight="1">
      <c r="A15" s="41">
        <v>8</v>
      </c>
      <c r="B15" s="57" t="s">
        <v>98</v>
      </c>
      <c r="C15" s="39">
        <f t="shared" si="2"/>
        <v>334.7232</v>
      </c>
      <c r="D15" s="42">
        <v>95.68</v>
      </c>
      <c r="E15" s="42">
        <v>-6.624</v>
      </c>
      <c r="F15" s="42">
        <v>-2.944</v>
      </c>
      <c r="G15" s="42">
        <v>9.568000000000001</v>
      </c>
      <c r="H15" s="42">
        <v>0</v>
      </c>
      <c r="I15" s="42">
        <v>-0.9568000000000002</v>
      </c>
      <c r="J15" s="42">
        <v>20</v>
      </c>
      <c r="K15" s="42">
        <v>120</v>
      </c>
      <c r="L15" s="42"/>
      <c r="M15" s="42">
        <v>100</v>
      </c>
      <c r="N15" s="39">
        <f t="shared" si="1"/>
        <v>22.314880000000002</v>
      </c>
      <c r="O15" s="39"/>
    </row>
    <row r="16" spans="1:15" ht="18" customHeight="1">
      <c r="A16" s="41">
        <v>9</v>
      </c>
      <c r="B16" s="57" t="s">
        <v>259</v>
      </c>
      <c r="C16" s="39">
        <f t="shared" si="2"/>
        <v>598.31584</v>
      </c>
      <c r="D16" s="42">
        <v>170.01600000000002</v>
      </c>
      <c r="E16" s="42">
        <v>-15.456000000000001</v>
      </c>
      <c r="F16" s="42">
        <v>-1.5456000000000019</v>
      </c>
      <c r="G16" s="42">
        <v>17.001600000000003</v>
      </c>
      <c r="H16" s="42">
        <v>0</v>
      </c>
      <c r="I16" s="42">
        <v>-1.7001600000000003</v>
      </c>
      <c r="J16" s="42">
        <v>20</v>
      </c>
      <c r="K16" s="42">
        <v>690</v>
      </c>
      <c r="L16" s="42"/>
      <c r="M16" s="42">
        <v>-280</v>
      </c>
      <c r="N16" s="39">
        <f t="shared" si="1"/>
        <v>39.88772266666667</v>
      </c>
      <c r="O16" s="39"/>
    </row>
    <row r="17" spans="1:15" ht="18" customHeight="1">
      <c r="A17" s="41">
        <v>10</v>
      </c>
      <c r="B17" s="58" t="s">
        <v>261</v>
      </c>
      <c r="C17" s="39">
        <f>SUM(D17:M17)-72</f>
        <v>466.18048</v>
      </c>
      <c r="D17" s="42">
        <v>97.152</v>
      </c>
      <c r="E17" s="42">
        <v>-8.831999999999999</v>
      </c>
      <c r="F17" s="42">
        <v>-0.8832000000000009</v>
      </c>
      <c r="G17" s="42">
        <v>9.715200000000001</v>
      </c>
      <c r="H17" s="42">
        <v>0</v>
      </c>
      <c r="I17" s="42">
        <v>-0.9715200000000002</v>
      </c>
      <c r="J17" s="42">
        <v>92</v>
      </c>
      <c r="K17" s="42">
        <v>350</v>
      </c>
      <c r="L17" s="42"/>
      <c r="M17" s="42">
        <v>0</v>
      </c>
      <c r="N17" s="39">
        <f>C17/12*8*0.1</f>
        <v>31.078698666666668</v>
      </c>
      <c r="O17" s="42" t="s">
        <v>222</v>
      </c>
    </row>
    <row r="18" spans="1:15" ht="18" customHeight="1">
      <c r="A18" s="41">
        <v>11</v>
      </c>
      <c r="B18" s="133" t="s">
        <v>262</v>
      </c>
      <c r="C18" s="39">
        <f t="shared" si="2"/>
        <v>184.72320000000002</v>
      </c>
      <c r="D18" s="42">
        <v>95.68</v>
      </c>
      <c r="E18" s="42">
        <v>-6.716</v>
      </c>
      <c r="F18" s="42">
        <v>-2.852</v>
      </c>
      <c r="G18" s="42">
        <v>9.568000000000001</v>
      </c>
      <c r="H18" s="42">
        <v>0</v>
      </c>
      <c r="I18" s="42">
        <v>-0.9568000000000002</v>
      </c>
      <c r="J18" s="42">
        <v>20</v>
      </c>
      <c r="K18" s="42">
        <v>50</v>
      </c>
      <c r="L18" s="42"/>
      <c r="M18" s="42">
        <v>20</v>
      </c>
      <c r="N18" s="39">
        <f t="shared" si="1"/>
        <v>12.314880000000002</v>
      </c>
      <c r="O18" s="39"/>
    </row>
    <row r="19" spans="1:15" ht="18" customHeight="1">
      <c r="A19" s="41">
        <v>12</v>
      </c>
      <c r="B19" s="132" t="s">
        <v>263</v>
      </c>
      <c r="C19" s="39">
        <f t="shared" si="2"/>
        <v>266.54084</v>
      </c>
      <c r="D19" s="42">
        <v>97.51599999999999</v>
      </c>
      <c r="E19" s="42">
        <v>-4.516</v>
      </c>
      <c r="F19" s="42">
        <v>-5.2356</v>
      </c>
      <c r="G19" s="42">
        <v>9.7516</v>
      </c>
      <c r="H19" s="42">
        <v>0</v>
      </c>
      <c r="I19" s="42">
        <v>-0.97516</v>
      </c>
      <c r="J19" s="42">
        <v>70</v>
      </c>
      <c r="K19" s="42">
        <v>100</v>
      </c>
      <c r="L19" s="42">
        <v>-50</v>
      </c>
      <c r="M19" s="42">
        <v>50</v>
      </c>
      <c r="N19" s="39">
        <f t="shared" si="1"/>
        <v>17.769389333333333</v>
      </c>
      <c r="O19" s="39"/>
    </row>
    <row r="20" spans="1:15" ht="18" customHeight="1">
      <c r="A20" s="41">
        <v>13</v>
      </c>
      <c r="B20" s="57" t="s">
        <v>99</v>
      </c>
      <c r="C20" s="39">
        <f t="shared" si="2"/>
        <v>144.72320000000002</v>
      </c>
      <c r="D20" s="42">
        <v>95.68</v>
      </c>
      <c r="E20" s="42">
        <v>-8.831999999999999</v>
      </c>
      <c r="F20" s="42">
        <v>-0.736</v>
      </c>
      <c r="G20" s="42">
        <v>9.568000000000001</v>
      </c>
      <c r="H20" s="42">
        <v>0</v>
      </c>
      <c r="I20" s="42">
        <v>-0.9568000000000002</v>
      </c>
      <c r="J20" s="42">
        <v>25</v>
      </c>
      <c r="K20" s="42">
        <v>25</v>
      </c>
      <c r="L20" s="42"/>
      <c r="M20" s="42"/>
      <c r="N20" s="39">
        <f t="shared" si="1"/>
        <v>9.648213333333336</v>
      </c>
      <c r="O20" s="39"/>
    </row>
    <row r="21" spans="1:15" ht="18" customHeight="1">
      <c r="A21" s="41">
        <v>14</v>
      </c>
      <c r="B21" s="57" t="s">
        <v>264</v>
      </c>
      <c r="C21" s="39">
        <f t="shared" si="2"/>
        <v>621.4</v>
      </c>
      <c r="D21" s="42">
        <v>144</v>
      </c>
      <c r="E21" s="42">
        <v>-10</v>
      </c>
      <c r="F21" s="42">
        <v>-6</v>
      </c>
      <c r="G21" s="42">
        <v>14.4</v>
      </c>
      <c r="H21" s="42">
        <v>0</v>
      </c>
      <c r="I21" s="42">
        <v>-1</v>
      </c>
      <c r="J21" s="42">
        <v>150</v>
      </c>
      <c r="K21" s="42">
        <v>380</v>
      </c>
      <c r="L21" s="42">
        <v>-120</v>
      </c>
      <c r="M21" s="42">
        <v>70</v>
      </c>
      <c r="N21" s="39">
        <f t="shared" si="1"/>
        <v>41.42666666666667</v>
      </c>
      <c r="O21" s="39"/>
    </row>
    <row r="22" spans="1:15" ht="18" customHeight="1">
      <c r="A22" s="41">
        <v>15</v>
      </c>
      <c r="B22" s="75" t="s">
        <v>168</v>
      </c>
      <c r="C22" s="39">
        <f t="shared" si="2"/>
        <v>425.64</v>
      </c>
      <c r="D22" s="42">
        <v>96</v>
      </c>
      <c r="E22" s="42">
        <v>-7</v>
      </c>
      <c r="F22" s="42">
        <v>-2</v>
      </c>
      <c r="G22" s="42">
        <v>9.6</v>
      </c>
      <c r="H22" s="42"/>
      <c r="I22" s="42">
        <v>-0.96</v>
      </c>
      <c r="J22" s="42">
        <v>20</v>
      </c>
      <c r="K22" s="42">
        <v>271</v>
      </c>
      <c r="L22" s="42"/>
      <c r="M22" s="42">
        <v>39</v>
      </c>
      <c r="N22" s="39">
        <f t="shared" si="1"/>
        <v>28.376</v>
      </c>
      <c r="O22" s="39"/>
    </row>
    <row r="23" spans="1:15" ht="18" customHeight="1">
      <c r="A23" s="41">
        <v>16</v>
      </c>
      <c r="B23" s="118" t="s">
        <v>128</v>
      </c>
      <c r="C23" s="39">
        <f>SUM(D23:M23)</f>
        <v>1115.6</v>
      </c>
      <c r="D23" s="42">
        <v>440</v>
      </c>
      <c r="E23" s="42">
        <v>-31</v>
      </c>
      <c r="F23" s="42">
        <v>-3</v>
      </c>
      <c r="G23" s="42">
        <v>44</v>
      </c>
      <c r="H23" s="42"/>
      <c r="I23" s="42">
        <v>-4.4</v>
      </c>
      <c r="J23" s="42">
        <v>100</v>
      </c>
      <c r="K23" s="42">
        <v>520</v>
      </c>
      <c r="L23" s="42"/>
      <c r="M23" s="42">
        <v>50</v>
      </c>
      <c r="N23" s="39">
        <f>C23/12*8*0.1</f>
        <v>74.37333333333332</v>
      </c>
      <c r="O23" s="42" t="s">
        <v>223</v>
      </c>
    </row>
    <row r="24" spans="1:15" ht="18" customHeight="1">
      <c r="A24" s="41">
        <v>17</v>
      </c>
      <c r="B24" s="57" t="s">
        <v>101</v>
      </c>
      <c r="C24" s="39">
        <f t="shared" si="2"/>
        <v>65.94</v>
      </c>
      <c r="D24" s="42">
        <v>66</v>
      </c>
      <c r="E24" s="42">
        <v>-6</v>
      </c>
      <c r="F24" s="42"/>
      <c r="G24" s="42">
        <v>6.6</v>
      </c>
      <c r="H24" s="42"/>
      <c r="I24" s="42">
        <v>-0.66</v>
      </c>
      <c r="J24" s="42"/>
      <c r="K24" s="42"/>
      <c r="L24" s="42"/>
      <c r="M24" s="42"/>
      <c r="N24" s="39">
        <f t="shared" si="1"/>
        <v>4.396</v>
      </c>
      <c r="O24" s="39"/>
    </row>
    <row r="25" spans="1:15" ht="18" customHeight="1">
      <c r="A25" s="41">
        <v>18</v>
      </c>
      <c r="B25" s="57" t="s">
        <v>118</v>
      </c>
      <c r="C25" s="39">
        <f t="shared" si="2"/>
        <v>74.5</v>
      </c>
      <c r="D25" s="42">
        <v>50</v>
      </c>
      <c r="E25" s="42">
        <v>0</v>
      </c>
      <c r="F25" s="42">
        <v>0</v>
      </c>
      <c r="G25" s="42">
        <v>5</v>
      </c>
      <c r="H25" s="42">
        <v>0</v>
      </c>
      <c r="I25" s="42">
        <v>-0.5</v>
      </c>
      <c r="J25" s="42"/>
      <c r="K25" s="42"/>
      <c r="L25" s="42"/>
      <c r="M25" s="42">
        <v>20</v>
      </c>
      <c r="N25" s="39">
        <f t="shared" si="1"/>
        <v>4.966666666666667</v>
      </c>
      <c r="O25" s="39"/>
    </row>
    <row r="26" spans="1:15" ht="18" customHeight="1">
      <c r="A26" s="41">
        <v>28</v>
      </c>
      <c r="B26" s="57" t="s">
        <v>96</v>
      </c>
      <c r="C26" s="39">
        <f t="shared" si="2"/>
        <v>1400</v>
      </c>
      <c r="D26" s="42">
        <v>0</v>
      </c>
      <c r="E26" s="42"/>
      <c r="F26" s="42"/>
      <c r="G26" s="42">
        <v>0</v>
      </c>
      <c r="H26" s="42">
        <v>0</v>
      </c>
      <c r="I26" s="42">
        <v>0</v>
      </c>
      <c r="J26" s="42">
        <v>0</v>
      </c>
      <c r="K26" s="42">
        <v>990</v>
      </c>
      <c r="L26" s="42"/>
      <c r="M26" s="42">
        <v>410</v>
      </c>
      <c r="N26" s="39">
        <f>C26/12*8*0.1</f>
        <v>93.33333333333334</v>
      </c>
      <c r="O26" s="39"/>
    </row>
    <row r="27" spans="1:15" ht="7.5" customHeight="1">
      <c r="A27" s="59"/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</row>
    <row r="28" spans="3:13" ht="13.5"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</row>
    <row r="29" spans="1:3" ht="13.5">
      <c r="A29" s="54"/>
      <c r="C29" s="44"/>
    </row>
  </sheetData>
  <sheetProtection/>
  <mergeCells count="14">
    <mergeCell ref="C4:C6"/>
    <mergeCell ref="D4:M4"/>
    <mergeCell ref="A4:A6"/>
    <mergeCell ref="B4:B6"/>
    <mergeCell ref="L5:M5"/>
    <mergeCell ref="G3:I3"/>
    <mergeCell ref="G2:I2"/>
    <mergeCell ref="L2:M2"/>
    <mergeCell ref="O4:O6"/>
    <mergeCell ref="A1:O1"/>
    <mergeCell ref="N4:N6"/>
    <mergeCell ref="D5:F5"/>
    <mergeCell ref="G5:I5"/>
    <mergeCell ref="J5:K5"/>
  </mergeCells>
  <printOptions/>
  <pageMargins left="0.7" right="0.5" top="0.7" bottom="0.4" header="0.25" footer="0.2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80"/>
  <sheetViews>
    <sheetView zoomScalePageLayoutView="0" workbookViewId="0" topLeftCell="A1">
      <selection activeCell="N3" sqref="N3:N5"/>
    </sheetView>
  </sheetViews>
  <sheetFormatPr defaultColWidth="9.09765625" defaultRowHeight="14.25"/>
  <cols>
    <col min="1" max="1" width="5" style="64" customWidth="1"/>
    <col min="2" max="2" width="32.296875" style="54" customWidth="1"/>
    <col min="3" max="3" width="13.3984375" style="65" hidden="1" customWidth="1"/>
    <col min="4" max="4" width="6.09765625" style="54" hidden="1" customWidth="1"/>
    <col min="5" max="5" width="7" style="54" hidden="1" customWidth="1"/>
    <col min="6" max="6" width="6.3984375" style="54" hidden="1" customWidth="1"/>
    <col min="7" max="7" width="5.59765625" style="54" hidden="1" customWidth="1"/>
    <col min="8" max="8" width="5.8984375" style="54" hidden="1" customWidth="1"/>
    <col min="9" max="9" width="6.09765625" style="54" hidden="1" customWidth="1"/>
    <col min="10" max="10" width="7" style="54" hidden="1" customWidth="1"/>
    <col min="11" max="11" width="5.296875" style="54" hidden="1" customWidth="1"/>
    <col min="12" max="12" width="7.296875" style="54" hidden="1" customWidth="1"/>
    <col min="13" max="13" width="6" style="54" hidden="1" customWidth="1"/>
    <col min="14" max="14" width="15.59765625" style="51" customWidth="1"/>
    <col min="15" max="15" width="44.3984375" style="44" customWidth="1"/>
    <col min="16" max="16" width="9.09765625" style="44" customWidth="1"/>
    <col min="17" max="16384" width="9.09765625" style="54" customWidth="1"/>
  </cols>
  <sheetData>
    <row r="1" spans="1:15" s="46" customFormat="1" ht="33.75" customHeight="1">
      <c r="A1" s="156" t="s">
        <v>267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</row>
    <row r="2" spans="1:15" s="46" customFormat="1" ht="24" customHeight="1">
      <c r="A2" s="47"/>
      <c r="C2" s="48"/>
      <c r="D2" s="49"/>
      <c r="E2" s="49"/>
      <c r="F2" s="49"/>
      <c r="G2" s="50"/>
      <c r="H2" s="50"/>
      <c r="I2" s="50"/>
      <c r="J2" s="51"/>
      <c r="K2" s="44"/>
      <c r="L2" s="52" t="s">
        <v>29</v>
      </c>
      <c r="M2" s="52"/>
      <c r="N2" s="50"/>
      <c r="O2" s="50" t="s">
        <v>29</v>
      </c>
    </row>
    <row r="3" spans="1:15" ht="17.25" customHeight="1">
      <c r="A3" s="164" t="s">
        <v>20</v>
      </c>
      <c r="B3" s="166" t="s">
        <v>21</v>
      </c>
      <c r="C3" s="150" t="s">
        <v>187</v>
      </c>
      <c r="D3" s="160" t="s">
        <v>3</v>
      </c>
      <c r="E3" s="161"/>
      <c r="F3" s="161"/>
      <c r="G3" s="161"/>
      <c r="H3" s="161"/>
      <c r="I3" s="161"/>
      <c r="J3" s="161"/>
      <c r="K3" s="161"/>
      <c r="L3" s="161"/>
      <c r="M3" s="162"/>
      <c r="N3" s="150" t="s">
        <v>277</v>
      </c>
      <c r="O3" s="153" t="s">
        <v>179</v>
      </c>
    </row>
    <row r="4" spans="1:15" ht="22.5" customHeight="1">
      <c r="A4" s="164"/>
      <c r="B4" s="166"/>
      <c r="C4" s="151"/>
      <c r="D4" s="160" t="s">
        <v>149</v>
      </c>
      <c r="E4" s="161"/>
      <c r="F4" s="162"/>
      <c r="G4" s="163" t="s">
        <v>150</v>
      </c>
      <c r="H4" s="163"/>
      <c r="I4" s="163"/>
      <c r="J4" s="158" t="s">
        <v>149</v>
      </c>
      <c r="K4" s="159"/>
      <c r="L4" s="158" t="s">
        <v>150</v>
      </c>
      <c r="M4" s="159"/>
      <c r="N4" s="151"/>
      <c r="O4" s="154"/>
    </row>
    <row r="5" spans="1:15" ht="23.25" customHeight="1">
      <c r="A5" s="165"/>
      <c r="B5" s="167"/>
      <c r="C5" s="152"/>
      <c r="D5" s="134" t="s">
        <v>113</v>
      </c>
      <c r="E5" s="134" t="s">
        <v>144</v>
      </c>
      <c r="F5" s="134" t="s">
        <v>121</v>
      </c>
      <c r="G5" s="135" t="s">
        <v>148</v>
      </c>
      <c r="H5" s="135" t="s">
        <v>146</v>
      </c>
      <c r="I5" s="134" t="s">
        <v>147</v>
      </c>
      <c r="J5" s="134" t="s">
        <v>87</v>
      </c>
      <c r="K5" s="134" t="s">
        <v>145</v>
      </c>
      <c r="L5" s="135" t="s">
        <v>119</v>
      </c>
      <c r="M5" s="134" t="s">
        <v>145</v>
      </c>
      <c r="N5" s="152"/>
      <c r="O5" s="155"/>
    </row>
    <row r="6" spans="1:15" ht="20.25" customHeight="1">
      <c r="A6" s="55"/>
      <c r="B6" s="34" t="s">
        <v>22</v>
      </c>
      <c r="C6" s="56">
        <f>SUM(C7:C51)/2+SUM(C52:C69)</f>
        <v>93962.15848608273</v>
      </c>
      <c r="D6" s="56">
        <f aca="true" t="shared" si="0" ref="D6:N6">SUM(D7:D51)/2+SUM(D52:D69)</f>
        <v>47253.738915463924</v>
      </c>
      <c r="E6" s="56">
        <f t="shared" si="0"/>
        <v>-4558.3604</v>
      </c>
      <c r="F6" s="56">
        <f t="shared" si="0"/>
        <v>-602.07644</v>
      </c>
      <c r="G6" s="56">
        <f t="shared" si="0"/>
        <v>4718.341891546391</v>
      </c>
      <c r="H6" s="56">
        <f t="shared" si="0"/>
        <v>-417.97160063660994</v>
      </c>
      <c r="I6" s="56">
        <f t="shared" si="0"/>
        <v>-429.3083890909782</v>
      </c>
      <c r="J6" s="56">
        <f t="shared" si="0"/>
        <v>30557.7945088</v>
      </c>
      <c r="K6" s="56">
        <f t="shared" si="0"/>
        <v>5050</v>
      </c>
      <c r="L6" s="56">
        <f t="shared" si="0"/>
        <v>10712</v>
      </c>
      <c r="M6" s="56">
        <f t="shared" si="0"/>
        <v>2949</v>
      </c>
      <c r="N6" s="56">
        <f t="shared" si="0"/>
        <v>6264.143899072183</v>
      </c>
      <c r="O6" s="56"/>
    </row>
    <row r="7" spans="1:15" ht="15.75" customHeight="1">
      <c r="A7" s="41">
        <v>1</v>
      </c>
      <c r="B7" s="42" t="s">
        <v>224</v>
      </c>
      <c r="C7" s="42">
        <f>C8+C9</f>
        <v>10065.5792</v>
      </c>
      <c r="D7" s="42">
        <f aca="true" t="shared" si="1" ref="D7:N7">D8+D9</f>
        <v>850.08</v>
      </c>
      <c r="E7" s="42">
        <f t="shared" si="1"/>
        <v>-275.28</v>
      </c>
      <c r="F7" s="42">
        <f t="shared" si="1"/>
        <v>-170.728</v>
      </c>
      <c r="G7" s="42">
        <f t="shared" si="1"/>
        <v>85.00800000000001</v>
      </c>
      <c r="H7" s="42">
        <f t="shared" si="1"/>
        <v>0</v>
      </c>
      <c r="I7" s="42">
        <f t="shared" si="1"/>
        <v>-8.500800000000002</v>
      </c>
      <c r="J7" s="42">
        <f t="shared" si="1"/>
        <v>8261</v>
      </c>
      <c r="K7" s="42">
        <f t="shared" si="1"/>
        <v>630</v>
      </c>
      <c r="L7" s="42">
        <f t="shared" si="1"/>
        <v>950</v>
      </c>
      <c r="M7" s="42">
        <f t="shared" si="1"/>
        <v>70</v>
      </c>
      <c r="N7" s="42">
        <f t="shared" si="1"/>
        <v>671.0386133333334</v>
      </c>
      <c r="O7" s="39"/>
    </row>
    <row r="8" spans="1:15" ht="15.75" customHeight="1">
      <c r="A8" s="41"/>
      <c r="B8" s="42" t="s">
        <v>80</v>
      </c>
      <c r="C8" s="42">
        <f>SUM(D8:M8)</f>
        <v>1161.5792000000001</v>
      </c>
      <c r="D8" s="42">
        <v>850.08</v>
      </c>
      <c r="E8" s="42">
        <v>-77.28</v>
      </c>
      <c r="F8" s="42">
        <v>-7.728000000000009</v>
      </c>
      <c r="G8" s="42">
        <v>85.00800000000001</v>
      </c>
      <c r="H8" s="42">
        <v>0</v>
      </c>
      <c r="I8" s="42">
        <v>-8.500800000000002</v>
      </c>
      <c r="J8" s="42">
        <v>100</v>
      </c>
      <c r="K8" s="42">
        <v>200</v>
      </c>
      <c r="L8" s="42">
        <v>20</v>
      </c>
      <c r="M8" s="42"/>
      <c r="N8" s="42">
        <f aca="true" t="shared" si="2" ref="N8:N69">C8/12*8*0.1</f>
        <v>77.43861333333335</v>
      </c>
      <c r="O8" s="42"/>
    </row>
    <row r="9" spans="1:15" ht="15.75" customHeight="1">
      <c r="A9" s="41"/>
      <c r="B9" s="42" t="s">
        <v>0</v>
      </c>
      <c r="C9" s="42">
        <f>SUM(D9:M9)-326</f>
        <v>8904</v>
      </c>
      <c r="D9" s="42">
        <v>0</v>
      </c>
      <c r="E9" s="42">
        <v>-198</v>
      </c>
      <c r="F9" s="42">
        <v>-163</v>
      </c>
      <c r="G9" s="42">
        <v>0</v>
      </c>
      <c r="H9" s="42">
        <v>0</v>
      </c>
      <c r="I9" s="42">
        <v>0</v>
      </c>
      <c r="J9" s="42">
        <v>8161</v>
      </c>
      <c r="K9" s="42">
        <v>430</v>
      </c>
      <c r="L9" s="42">
        <v>930</v>
      </c>
      <c r="M9" s="42">
        <v>70</v>
      </c>
      <c r="N9" s="42">
        <f t="shared" si="2"/>
        <v>593.6</v>
      </c>
      <c r="O9" s="42" t="s">
        <v>206</v>
      </c>
    </row>
    <row r="10" spans="1:15" ht="15.75" customHeight="1">
      <c r="A10" s="41">
        <v>2</v>
      </c>
      <c r="B10" s="42" t="s">
        <v>138</v>
      </c>
      <c r="C10" s="42">
        <f>C11+C12+C13</f>
        <v>9121.892108799999</v>
      </c>
      <c r="D10" s="42">
        <f aca="true" t="shared" si="3" ref="D10:N10">D11+D12+D13</f>
        <v>1650.96</v>
      </c>
      <c r="E10" s="42">
        <f t="shared" si="3"/>
        <v>-192.448</v>
      </c>
      <c r="F10" s="42">
        <f t="shared" si="3"/>
        <v>-4.855999999999998</v>
      </c>
      <c r="G10" s="42">
        <f t="shared" si="3"/>
        <v>155.064</v>
      </c>
      <c r="H10" s="42">
        <f t="shared" si="3"/>
        <v>0.759999999999998</v>
      </c>
      <c r="I10" s="42">
        <f t="shared" si="3"/>
        <v>-15.582400000000002</v>
      </c>
      <c r="J10" s="42">
        <f t="shared" si="3"/>
        <v>5972.9945088</v>
      </c>
      <c r="K10" s="42">
        <f t="shared" si="3"/>
        <v>475</v>
      </c>
      <c r="L10" s="42">
        <f t="shared" si="3"/>
        <v>1005</v>
      </c>
      <c r="M10" s="42">
        <f t="shared" si="3"/>
        <v>75</v>
      </c>
      <c r="N10" s="42">
        <f t="shared" si="3"/>
        <v>608.1261405866667</v>
      </c>
      <c r="O10" s="39"/>
    </row>
    <row r="11" spans="1:15" ht="15.75" customHeight="1">
      <c r="A11" s="41"/>
      <c r="B11" s="42" t="s">
        <v>82</v>
      </c>
      <c r="C11" s="42">
        <f aca="true" t="shared" si="4" ref="C11:C69">SUM(D11:M11)</f>
        <v>3108.6679999999997</v>
      </c>
      <c r="D11" s="42">
        <v>1383.2</v>
      </c>
      <c r="E11" s="42">
        <v>-170.68</v>
      </c>
      <c r="F11" s="42">
        <v>0.12000000000000455</v>
      </c>
      <c r="G11" s="42">
        <v>138.32</v>
      </c>
      <c r="H11" s="42">
        <v>-49.4</v>
      </c>
      <c r="I11" s="42">
        <v>-8.892000000000001</v>
      </c>
      <c r="J11" s="42">
        <v>1516</v>
      </c>
      <c r="K11" s="42">
        <v>225</v>
      </c>
      <c r="L11" s="42">
        <v>0</v>
      </c>
      <c r="M11" s="42">
        <v>75</v>
      </c>
      <c r="N11" s="42">
        <f t="shared" si="2"/>
        <v>207.24453333333332</v>
      </c>
      <c r="O11" s="39"/>
    </row>
    <row r="12" spans="1:15" ht="15.75" customHeight="1">
      <c r="A12" s="41"/>
      <c r="B12" s="42" t="s">
        <v>139</v>
      </c>
      <c r="C12" s="42">
        <f t="shared" si="4"/>
        <v>665.7656</v>
      </c>
      <c r="D12" s="42">
        <v>167.44</v>
      </c>
      <c r="E12" s="42">
        <v>-12.768</v>
      </c>
      <c r="F12" s="42">
        <v>-3.976000000000002</v>
      </c>
      <c r="G12" s="42">
        <v>16.744</v>
      </c>
      <c r="H12" s="42">
        <v>0</v>
      </c>
      <c r="I12" s="42">
        <v>-1.6744</v>
      </c>
      <c r="J12" s="42">
        <v>350</v>
      </c>
      <c r="K12" s="42">
        <v>100</v>
      </c>
      <c r="L12" s="42">
        <v>50</v>
      </c>
      <c r="M12" s="42"/>
      <c r="N12" s="42">
        <f t="shared" si="2"/>
        <v>44.384373333333336</v>
      </c>
      <c r="O12" s="39"/>
    </row>
    <row r="13" spans="1:15" ht="15.75" customHeight="1">
      <c r="A13" s="41"/>
      <c r="B13" s="42" t="s">
        <v>120</v>
      </c>
      <c r="C13" s="42">
        <f t="shared" si="4"/>
        <v>5347.4585088</v>
      </c>
      <c r="D13" s="42">
        <v>100.32</v>
      </c>
      <c r="E13" s="42">
        <v>-9</v>
      </c>
      <c r="F13" s="42">
        <v>-1</v>
      </c>
      <c r="G13" s="42">
        <v>0</v>
      </c>
      <c r="H13" s="42">
        <v>50.16</v>
      </c>
      <c r="I13" s="42">
        <v>-5.016</v>
      </c>
      <c r="J13" s="42">
        <v>4106.9945088</v>
      </c>
      <c r="K13" s="42">
        <v>150</v>
      </c>
      <c r="L13" s="42">
        <v>955</v>
      </c>
      <c r="M13" s="42"/>
      <c r="N13" s="42">
        <f t="shared" si="2"/>
        <v>356.49723392000004</v>
      </c>
      <c r="O13" s="39"/>
    </row>
    <row r="14" spans="1:15" ht="15.75" customHeight="1">
      <c r="A14" s="41">
        <v>3</v>
      </c>
      <c r="B14" s="42" t="s">
        <v>58</v>
      </c>
      <c r="C14" s="42">
        <f aca="true" t="shared" si="5" ref="C14:N14">C15+C16+C17</f>
        <v>19077.88300128272</v>
      </c>
      <c r="D14" s="42">
        <f t="shared" si="5"/>
        <v>16158.750515463917</v>
      </c>
      <c r="E14" s="42">
        <f t="shared" si="5"/>
        <v>-1527.7</v>
      </c>
      <c r="F14" s="42">
        <f t="shared" si="5"/>
        <v>-130.79</v>
      </c>
      <c r="G14" s="42">
        <f t="shared" si="5"/>
        <v>1615.875051546392</v>
      </c>
      <c r="H14" s="42">
        <f t="shared" si="5"/>
        <v>-475.18340063660986</v>
      </c>
      <c r="I14" s="42">
        <f t="shared" si="5"/>
        <v>-114.06916509097819</v>
      </c>
      <c r="J14" s="42">
        <f t="shared" si="5"/>
        <v>297</v>
      </c>
      <c r="K14" s="42">
        <f t="shared" si="5"/>
        <v>230</v>
      </c>
      <c r="L14" s="42">
        <f t="shared" si="5"/>
        <v>1894</v>
      </c>
      <c r="M14" s="42">
        <f t="shared" si="5"/>
        <v>1449</v>
      </c>
      <c r="N14" s="42">
        <f t="shared" si="5"/>
        <v>1271.8588667521815</v>
      </c>
      <c r="O14" s="39"/>
    </row>
    <row r="15" spans="1:17" ht="15.75" customHeight="1">
      <c r="A15" s="41"/>
      <c r="B15" s="42" t="s">
        <v>35</v>
      </c>
      <c r="C15" s="42">
        <f t="shared" si="4"/>
        <v>1212.805</v>
      </c>
      <c r="D15" s="42">
        <v>1069.5</v>
      </c>
      <c r="E15" s="42">
        <v>-99</v>
      </c>
      <c r="F15" s="42">
        <v>-7.95</v>
      </c>
      <c r="G15" s="42">
        <v>106.95</v>
      </c>
      <c r="H15" s="42">
        <v>0</v>
      </c>
      <c r="I15" s="42">
        <v>-10.695</v>
      </c>
      <c r="J15" s="42">
        <v>54</v>
      </c>
      <c r="K15" s="42">
        <v>100</v>
      </c>
      <c r="L15" s="42">
        <v>0</v>
      </c>
      <c r="M15" s="42"/>
      <c r="N15" s="42">
        <f t="shared" si="2"/>
        <v>80.85366666666668</v>
      </c>
      <c r="O15" s="39"/>
      <c r="Q15" s="44"/>
    </row>
    <row r="16" spans="1:15" ht="15.75" customHeight="1">
      <c r="A16" s="41"/>
      <c r="B16" s="57" t="s">
        <v>184</v>
      </c>
      <c r="C16" s="42">
        <f>SUM(D16:M16)-319</f>
        <v>16944.600423963133</v>
      </c>
      <c r="D16" s="42">
        <v>13922.4</v>
      </c>
      <c r="E16" s="42">
        <v>-1322.4</v>
      </c>
      <c r="F16" s="42">
        <v>-122.84</v>
      </c>
      <c r="G16" s="42">
        <v>1392.24</v>
      </c>
      <c r="H16" s="42">
        <v>-202.86175115207374</v>
      </c>
      <c r="I16" s="42">
        <v>-118.93782488479263</v>
      </c>
      <c r="J16" s="42">
        <v>243</v>
      </c>
      <c r="K16" s="42">
        <v>130</v>
      </c>
      <c r="L16" s="42">
        <v>1894</v>
      </c>
      <c r="M16" s="42">
        <v>1449</v>
      </c>
      <c r="N16" s="42">
        <f>C16/12*8*0.1</f>
        <v>1129.640028264209</v>
      </c>
      <c r="O16" s="42" t="s">
        <v>208</v>
      </c>
    </row>
    <row r="17" spans="1:15" ht="15.75" customHeight="1">
      <c r="A17" s="41"/>
      <c r="B17" s="57" t="s">
        <v>143</v>
      </c>
      <c r="C17" s="42">
        <f t="shared" si="4"/>
        <v>920.4775773195878</v>
      </c>
      <c r="D17" s="42">
        <v>1166.8505154639176</v>
      </c>
      <c r="E17" s="42">
        <v>-106.3</v>
      </c>
      <c r="F17" s="42">
        <v>0</v>
      </c>
      <c r="G17" s="42">
        <v>116.68505154639178</v>
      </c>
      <c r="H17" s="42">
        <v>-272.3216494845361</v>
      </c>
      <c r="I17" s="42">
        <v>15.563659793814436</v>
      </c>
      <c r="J17" s="42"/>
      <c r="K17" s="42"/>
      <c r="L17" s="42"/>
      <c r="M17" s="42"/>
      <c r="N17" s="42">
        <f t="shared" si="2"/>
        <v>61.36517182130586</v>
      </c>
      <c r="O17" s="39"/>
    </row>
    <row r="18" spans="1:17" ht="15.75" customHeight="1">
      <c r="A18" s="41">
        <v>4</v>
      </c>
      <c r="B18" s="58" t="s">
        <v>89</v>
      </c>
      <c r="C18" s="42">
        <f aca="true" t="shared" si="6" ref="C18:N18">C19+C20+C21</f>
        <v>1670.81032</v>
      </c>
      <c r="D18" s="42">
        <f t="shared" si="6"/>
        <v>1395.032</v>
      </c>
      <c r="E18" s="42">
        <f t="shared" si="6"/>
        <v>-122.472</v>
      </c>
      <c r="F18" s="42">
        <f t="shared" si="6"/>
        <v>-17.031200000000002</v>
      </c>
      <c r="G18" s="42">
        <f t="shared" si="6"/>
        <v>139.5032</v>
      </c>
      <c r="H18" s="42">
        <f t="shared" si="6"/>
        <v>0</v>
      </c>
      <c r="I18" s="42">
        <f t="shared" si="6"/>
        <v>-13.221680000000003</v>
      </c>
      <c r="J18" s="42">
        <f t="shared" si="6"/>
        <v>69</v>
      </c>
      <c r="K18" s="42">
        <f t="shared" si="6"/>
        <v>190</v>
      </c>
      <c r="L18" s="42">
        <f t="shared" si="6"/>
        <v>30</v>
      </c>
      <c r="M18" s="42">
        <f t="shared" si="6"/>
        <v>60</v>
      </c>
      <c r="N18" s="42">
        <f t="shared" si="6"/>
        <v>111.38735466666667</v>
      </c>
      <c r="O18" s="39"/>
      <c r="Q18" s="44"/>
    </row>
    <row r="19" spans="1:17" ht="15.75" customHeight="1">
      <c r="A19" s="41"/>
      <c r="B19" s="58" t="s">
        <v>16</v>
      </c>
      <c r="C19" s="42">
        <f t="shared" si="4"/>
        <v>1307.3139999999999</v>
      </c>
      <c r="D19" s="42">
        <v>1128.6</v>
      </c>
      <c r="E19" s="42">
        <v>-102.6</v>
      </c>
      <c r="F19" s="42">
        <v>-10.26</v>
      </c>
      <c r="G19" s="42">
        <v>112.86</v>
      </c>
      <c r="H19" s="42">
        <v>0</v>
      </c>
      <c r="I19" s="42">
        <v>-11.286000000000001</v>
      </c>
      <c r="J19" s="42">
        <v>50</v>
      </c>
      <c r="K19" s="42">
        <v>100</v>
      </c>
      <c r="L19" s="42">
        <v>0</v>
      </c>
      <c r="M19" s="42">
        <v>40</v>
      </c>
      <c r="N19" s="42">
        <f t="shared" si="2"/>
        <v>87.15426666666667</v>
      </c>
      <c r="O19" s="39"/>
      <c r="Q19" s="44"/>
    </row>
    <row r="20" spans="1:15" ht="15.75" customHeight="1">
      <c r="A20" s="41"/>
      <c r="B20" s="58" t="s">
        <v>47</v>
      </c>
      <c r="C20" s="42">
        <f>SUM(D20:M20)-60</f>
        <v>231.63232000000005</v>
      </c>
      <c r="D20" s="42">
        <v>193.568</v>
      </c>
      <c r="E20" s="42">
        <v>-13.248</v>
      </c>
      <c r="F20" s="42">
        <v>-6.108800000000002</v>
      </c>
      <c r="G20" s="42">
        <v>19.356800000000003</v>
      </c>
      <c r="H20" s="42">
        <v>0</v>
      </c>
      <c r="I20" s="42">
        <v>-1.9356800000000005</v>
      </c>
      <c r="J20" s="42">
        <v>0</v>
      </c>
      <c r="K20" s="42">
        <v>90</v>
      </c>
      <c r="L20" s="42"/>
      <c r="M20" s="42">
        <v>10</v>
      </c>
      <c r="N20" s="42">
        <f>C20/12*8*0.1</f>
        <v>15.44215466666667</v>
      </c>
      <c r="O20" s="42" t="s">
        <v>209</v>
      </c>
    </row>
    <row r="21" spans="1:15" ht="15.75" customHeight="1">
      <c r="A21" s="41"/>
      <c r="B21" s="58" t="s">
        <v>233</v>
      </c>
      <c r="C21" s="42">
        <f t="shared" si="4"/>
        <v>131.864</v>
      </c>
      <c r="D21" s="42">
        <v>72.864</v>
      </c>
      <c r="E21" s="42">
        <v>-6.624</v>
      </c>
      <c r="F21" s="42">
        <v>-0.662400000000001</v>
      </c>
      <c r="G21" s="42">
        <v>7.2864</v>
      </c>
      <c r="H21" s="42">
        <v>0</v>
      </c>
      <c r="I21" s="42">
        <v>0</v>
      </c>
      <c r="J21" s="42">
        <v>19</v>
      </c>
      <c r="K21" s="42">
        <v>0</v>
      </c>
      <c r="L21" s="42">
        <v>30</v>
      </c>
      <c r="M21" s="42">
        <v>10</v>
      </c>
      <c r="N21" s="42">
        <f t="shared" si="2"/>
        <v>8.790933333333333</v>
      </c>
      <c r="O21" s="39"/>
    </row>
    <row r="22" spans="1:15" ht="15.75" customHeight="1">
      <c r="A22" s="41">
        <v>5</v>
      </c>
      <c r="B22" s="42" t="s">
        <v>235</v>
      </c>
      <c r="C22" s="42">
        <f aca="true" t="shared" si="7" ref="C22:N22">C23+C24+C25</f>
        <v>5430.93384</v>
      </c>
      <c r="D22" s="42">
        <f t="shared" si="7"/>
        <v>3978.2160000000003</v>
      </c>
      <c r="E22" s="42">
        <f t="shared" si="7"/>
        <v>-361.656</v>
      </c>
      <c r="F22" s="42">
        <f t="shared" si="7"/>
        <v>-36.16560000000002</v>
      </c>
      <c r="G22" s="42">
        <f t="shared" si="7"/>
        <v>402.8216</v>
      </c>
      <c r="H22" s="42">
        <f t="shared" si="7"/>
        <v>0</v>
      </c>
      <c r="I22" s="42">
        <f t="shared" si="7"/>
        <v>-40.282160000000005</v>
      </c>
      <c r="J22" s="42">
        <f t="shared" si="7"/>
        <v>670</v>
      </c>
      <c r="K22" s="42">
        <f t="shared" si="7"/>
        <v>290</v>
      </c>
      <c r="L22" s="42">
        <f t="shared" si="7"/>
        <v>298</v>
      </c>
      <c r="M22" s="42">
        <f t="shared" si="7"/>
        <v>335</v>
      </c>
      <c r="N22" s="42">
        <f t="shared" si="7"/>
        <v>362.06225600000005</v>
      </c>
      <c r="O22" s="39"/>
    </row>
    <row r="23" spans="1:15" ht="15.75" customHeight="1">
      <c r="A23" s="41"/>
      <c r="B23" s="42" t="s">
        <v>115</v>
      </c>
      <c r="C23" s="42">
        <f t="shared" si="4"/>
        <v>1888.106</v>
      </c>
      <c r="D23" s="42">
        <v>1379.4</v>
      </c>
      <c r="E23" s="42">
        <v>-125.4</v>
      </c>
      <c r="F23" s="42">
        <v>-12.54</v>
      </c>
      <c r="G23" s="42">
        <v>142.94</v>
      </c>
      <c r="H23" s="42">
        <v>0</v>
      </c>
      <c r="I23" s="42">
        <v>-14.294000000000004</v>
      </c>
      <c r="J23" s="42">
        <v>70</v>
      </c>
      <c r="K23" s="42">
        <v>150</v>
      </c>
      <c r="L23" s="42">
        <v>298</v>
      </c>
      <c r="M23" s="42"/>
      <c r="N23" s="42">
        <f t="shared" si="2"/>
        <v>125.87373333333333</v>
      </c>
      <c r="O23" s="39"/>
    </row>
    <row r="24" spans="1:15" ht="15.75" customHeight="1">
      <c r="A24" s="41"/>
      <c r="B24" s="57" t="s">
        <v>106</v>
      </c>
      <c r="C24" s="42">
        <f t="shared" si="4"/>
        <v>1507.81216</v>
      </c>
      <c r="D24" s="42">
        <v>437.184</v>
      </c>
      <c r="E24" s="42">
        <v>-39.744</v>
      </c>
      <c r="F24" s="42">
        <v>-3.974400000000003</v>
      </c>
      <c r="G24" s="42">
        <v>43.7184</v>
      </c>
      <c r="H24" s="42">
        <v>0</v>
      </c>
      <c r="I24" s="42">
        <v>-4.371840000000001</v>
      </c>
      <c r="J24" s="42">
        <v>600</v>
      </c>
      <c r="K24" s="42">
        <v>140</v>
      </c>
      <c r="L24" s="42"/>
      <c r="M24" s="42">
        <v>335</v>
      </c>
      <c r="N24" s="42">
        <f t="shared" si="2"/>
        <v>100.52081066666666</v>
      </c>
      <c r="O24" s="39"/>
    </row>
    <row r="25" spans="1:15" ht="15.75" customHeight="1">
      <c r="A25" s="41"/>
      <c r="B25" s="57" t="s">
        <v>88</v>
      </c>
      <c r="C25" s="42">
        <f>SUM(D25:M25)-105</f>
        <v>2035.01568</v>
      </c>
      <c r="D25" s="42">
        <v>2161.632</v>
      </c>
      <c r="E25" s="42">
        <v>-196.512</v>
      </c>
      <c r="F25" s="42">
        <v>-19.651200000000017</v>
      </c>
      <c r="G25" s="42">
        <v>216.16320000000002</v>
      </c>
      <c r="H25" s="42">
        <v>0</v>
      </c>
      <c r="I25" s="42">
        <v>-21.61632</v>
      </c>
      <c r="J25" s="42">
        <v>0</v>
      </c>
      <c r="K25" s="42">
        <v>0</v>
      </c>
      <c r="L25" s="42"/>
      <c r="M25" s="42"/>
      <c r="N25" s="42">
        <f>C25/12*8*0.1</f>
        <v>135.66771200000002</v>
      </c>
      <c r="O25" s="42" t="s">
        <v>207</v>
      </c>
    </row>
    <row r="26" spans="1:15" ht="15.75" customHeight="1">
      <c r="A26" s="41">
        <v>6</v>
      </c>
      <c r="B26" s="42" t="s">
        <v>236</v>
      </c>
      <c r="C26" s="42">
        <f>C27+C28+C29+C30</f>
        <v>1870.4595885714286</v>
      </c>
      <c r="D26" s="42">
        <f aca="true" t="shared" si="8" ref="D26:N26">D27+D28+D29+D30</f>
        <v>1443.7759999999998</v>
      </c>
      <c r="E26" s="42">
        <f t="shared" si="8"/>
        <v>-129.57600000000002</v>
      </c>
      <c r="F26" s="42">
        <f t="shared" si="8"/>
        <v>-14.801599999999997</v>
      </c>
      <c r="G26" s="42">
        <f t="shared" si="8"/>
        <v>144.3776</v>
      </c>
      <c r="H26" s="42">
        <f t="shared" si="8"/>
        <v>1.2459428571428646</v>
      </c>
      <c r="I26" s="42">
        <f t="shared" si="8"/>
        <v>-14.562354285714289</v>
      </c>
      <c r="J26" s="42">
        <f t="shared" si="8"/>
        <v>120</v>
      </c>
      <c r="K26" s="42">
        <f t="shared" si="8"/>
        <v>0</v>
      </c>
      <c r="L26" s="42">
        <f t="shared" si="8"/>
        <v>0</v>
      </c>
      <c r="M26" s="42">
        <f t="shared" si="8"/>
        <v>320</v>
      </c>
      <c r="N26" s="42">
        <f t="shared" si="8"/>
        <v>124.69730590476193</v>
      </c>
      <c r="O26" s="39"/>
    </row>
    <row r="27" spans="1:15" ht="15.75" customHeight="1">
      <c r="A27" s="41"/>
      <c r="B27" s="42" t="s">
        <v>37</v>
      </c>
      <c r="C27" s="42">
        <f t="shared" si="4"/>
        <v>1087.7922285714285</v>
      </c>
      <c r="D27" s="42">
        <v>786.08</v>
      </c>
      <c r="E27" s="42">
        <v>-75.48</v>
      </c>
      <c r="F27" s="42">
        <v>-3.1279999999999974</v>
      </c>
      <c r="G27" s="42">
        <v>78.608</v>
      </c>
      <c r="H27" s="42">
        <v>-44.91885714285714</v>
      </c>
      <c r="I27" s="42">
        <v>-3.368914285714286</v>
      </c>
      <c r="J27" s="42">
        <v>120</v>
      </c>
      <c r="K27" s="42">
        <v>0</v>
      </c>
      <c r="L27" s="42"/>
      <c r="M27" s="42">
        <v>230</v>
      </c>
      <c r="N27" s="42">
        <f t="shared" si="2"/>
        <v>72.5194819047619</v>
      </c>
      <c r="O27" s="39"/>
    </row>
    <row r="28" spans="1:15" ht="15.75" customHeight="1">
      <c r="A28" s="41"/>
      <c r="B28" s="58" t="s">
        <v>109</v>
      </c>
      <c r="C28" s="42">
        <f t="shared" si="4"/>
        <v>176.45664000000002</v>
      </c>
      <c r="D28" s="42">
        <v>170.01600000000002</v>
      </c>
      <c r="E28" s="42">
        <v>-15.456000000000001</v>
      </c>
      <c r="F28" s="42">
        <v>-1.5456000000000019</v>
      </c>
      <c r="G28" s="42">
        <v>17.001600000000003</v>
      </c>
      <c r="H28" s="42">
        <v>-24.288000000000004</v>
      </c>
      <c r="I28" s="42">
        <v>0.7286400000000001</v>
      </c>
      <c r="J28" s="42">
        <v>0</v>
      </c>
      <c r="K28" s="42">
        <v>0</v>
      </c>
      <c r="L28" s="42"/>
      <c r="M28" s="42">
        <v>30</v>
      </c>
      <c r="N28" s="42">
        <f t="shared" si="2"/>
        <v>11.763776000000002</v>
      </c>
      <c r="O28" s="39"/>
    </row>
    <row r="29" spans="1:15" ht="15.75" customHeight="1">
      <c r="A29" s="41"/>
      <c r="B29" s="58" t="s">
        <v>142</v>
      </c>
      <c r="C29" s="42">
        <f t="shared" si="4"/>
        <v>347.8504000000001</v>
      </c>
      <c r="D29" s="42">
        <v>287.04</v>
      </c>
      <c r="E29" s="42">
        <v>-20.4</v>
      </c>
      <c r="F29" s="42">
        <v>-8.303999999999997</v>
      </c>
      <c r="G29" s="42">
        <v>28.704000000000004</v>
      </c>
      <c r="H29" s="42">
        <v>26.312000000000005</v>
      </c>
      <c r="I29" s="42">
        <v>-5.501600000000001</v>
      </c>
      <c r="J29" s="42"/>
      <c r="K29" s="42"/>
      <c r="L29" s="42"/>
      <c r="M29" s="42">
        <v>40</v>
      </c>
      <c r="N29" s="42">
        <f t="shared" si="2"/>
        <v>23.190026666666675</v>
      </c>
      <c r="O29" s="39"/>
    </row>
    <row r="30" spans="1:15" ht="15.75" customHeight="1">
      <c r="A30" s="41"/>
      <c r="B30" s="42" t="s">
        <v>50</v>
      </c>
      <c r="C30" s="42">
        <f t="shared" si="4"/>
        <v>258.36032</v>
      </c>
      <c r="D30" s="42">
        <v>200.64</v>
      </c>
      <c r="E30" s="42">
        <v>-18.24</v>
      </c>
      <c r="F30" s="42">
        <v>-1.824000000000001</v>
      </c>
      <c r="G30" s="42">
        <v>20.064</v>
      </c>
      <c r="H30" s="42">
        <v>44.140800000000006</v>
      </c>
      <c r="I30" s="42">
        <v>-6.420480000000001</v>
      </c>
      <c r="J30" s="42">
        <v>0</v>
      </c>
      <c r="K30" s="42">
        <v>0</v>
      </c>
      <c r="L30" s="42"/>
      <c r="M30" s="42">
        <v>20</v>
      </c>
      <c r="N30" s="42">
        <f t="shared" si="2"/>
        <v>17.224021333333337</v>
      </c>
      <c r="O30" s="39"/>
    </row>
    <row r="31" spans="1:15" ht="15.75" customHeight="1">
      <c r="A31" s="41">
        <v>7</v>
      </c>
      <c r="B31" s="58" t="s">
        <v>90</v>
      </c>
      <c r="C31" s="42">
        <f aca="true" t="shared" si="9" ref="C31:N31">C32+C33+C34</f>
        <v>1958.67356</v>
      </c>
      <c r="D31" s="42">
        <f t="shared" si="9"/>
        <v>1837.0439999999999</v>
      </c>
      <c r="E31" s="42">
        <f t="shared" si="9"/>
        <v>-167.00400000000002</v>
      </c>
      <c r="F31" s="42">
        <f t="shared" si="9"/>
        <v>-16.700400000000002</v>
      </c>
      <c r="G31" s="42">
        <f t="shared" si="9"/>
        <v>183.70440000000002</v>
      </c>
      <c r="H31" s="42">
        <f t="shared" si="9"/>
        <v>0</v>
      </c>
      <c r="I31" s="42">
        <f t="shared" si="9"/>
        <v>-18.370440000000002</v>
      </c>
      <c r="J31" s="42">
        <f t="shared" si="9"/>
        <v>20</v>
      </c>
      <c r="K31" s="42">
        <f t="shared" si="9"/>
        <v>0</v>
      </c>
      <c r="L31" s="42">
        <f t="shared" si="9"/>
        <v>0</v>
      </c>
      <c r="M31" s="42">
        <f t="shared" si="9"/>
        <v>120</v>
      </c>
      <c r="N31" s="42">
        <f t="shared" si="9"/>
        <v>130.57823733333333</v>
      </c>
      <c r="O31" s="39"/>
    </row>
    <row r="32" spans="1:15" ht="15.75" customHeight="1">
      <c r="A32" s="41"/>
      <c r="B32" s="58" t="s">
        <v>38</v>
      </c>
      <c r="C32" s="42">
        <f t="shared" si="4"/>
        <v>1090.2692</v>
      </c>
      <c r="D32" s="42">
        <v>1081.08</v>
      </c>
      <c r="E32" s="42">
        <v>-98.28</v>
      </c>
      <c r="F32" s="42">
        <v>-9.827999999999998</v>
      </c>
      <c r="G32" s="42">
        <v>108.108</v>
      </c>
      <c r="H32" s="42">
        <v>0</v>
      </c>
      <c r="I32" s="42">
        <v>-10.8108</v>
      </c>
      <c r="J32" s="42">
        <v>20</v>
      </c>
      <c r="K32" s="42">
        <v>0</v>
      </c>
      <c r="L32" s="42"/>
      <c r="M32" s="42"/>
      <c r="N32" s="42">
        <f t="shared" si="2"/>
        <v>72.68461333333333</v>
      </c>
      <c r="O32" s="39"/>
    </row>
    <row r="33" spans="1:15" ht="15.75" customHeight="1">
      <c r="A33" s="41"/>
      <c r="B33" s="58" t="s">
        <v>48</v>
      </c>
      <c r="C33" s="42">
        <f t="shared" si="4"/>
        <v>529.86292</v>
      </c>
      <c r="D33" s="42">
        <v>464.508</v>
      </c>
      <c r="E33" s="42">
        <v>-42.228</v>
      </c>
      <c r="F33" s="42">
        <v>-4.222800000000001</v>
      </c>
      <c r="G33" s="42">
        <v>46.4508</v>
      </c>
      <c r="H33" s="42">
        <v>0</v>
      </c>
      <c r="I33" s="42">
        <v>-4.64508</v>
      </c>
      <c r="J33" s="42">
        <v>0</v>
      </c>
      <c r="K33" s="42">
        <v>0</v>
      </c>
      <c r="L33" s="42"/>
      <c r="M33" s="42">
        <v>70</v>
      </c>
      <c r="N33" s="42">
        <f t="shared" si="2"/>
        <v>35.32419466666667</v>
      </c>
      <c r="O33" s="39"/>
    </row>
    <row r="34" spans="1:15" ht="15.75" customHeight="1">
      <c r="A34" s="41"/>
      <c r="B34" s="58" t="s">
        <v>49</v>
      </c>
      <c r="C34" s="42">
        <f t="shared" si="4"/>
        <v>338.54144</v>
      </c>
      <c r="D34" s="42">
        <v>291.456</v>
      </c>
      <c r="E34" s="42">
        <v>-26.496</v>
      </c>
      <c r="F34" s="42">
        <v>-2.649600000000004</v>
      </c>
      <c r="G34" s="42">
        <v>29.1456</v>
      </c>
      <c r="H34" s="42">
        <v>0</v>
      </c>
      <c r="I34" s="42">
        <v>-2.9145600000000003</v>
      </c>
      <c r="J34" s="42">
        <v>0</v>
      </c>
      <c r="K34" s="42">
        <v>0</v>
      </c>
      <c r="L34" s="42"/>
      <c r="M34" s="42">
        <v>50</v>
      </c>
      <c r="N34" s="42">
        <f>C34/12*8*0.1</f>
        <v>22.569429333333336</v>
      </c>
      <c r="O34" s="39"/>
    </row>
    <row r="35" spans="1:15" ht="15.75" customHeight="1">
      <c r="A35" s="41">
        <v>8</v>
      </c>
      <c r="B35" s="58" t="s">
        <v>24</v>
      </c>
      <c r="C35" s="42">
        <f aca="true" t="shared" si="10" ref="C35:N35">C36+C37+C38+C39</f>
        <v>10350.13168</v>
      </c>
      <c r="D35" s="42">
        <f t="shared" si="10"/>
        <v>1990.0320000000002</v>
      </c>
      <c r="E35" s="42">
        <f t="shared" si="10"/>
        <v>-180.912</v>
      </c>
      <c r="F35" s="42">
        <f t="shared" si="10"/>
        <v>-18.091200000000025</v>
      </c>
      <c r="G35" s="42">
        <f t="shared" si="10"/>
        <v>199.00320000000002</v>
      </c>
      <c r="H35" s="42">
        <f t="shared" si="10"/>
        <v>0</v>
      </c>
      <c r="I35" s="42">
        <f t="shared" si="10"/>
        <v>-19.900320000000004</v>
      </c>
      <c r="J35" s="42">
        <f t="shared" si="10"/>
        <v>4770</v>
      </c>
      <c r="K35" s="42">
        <f t="shared" si="10"/>
        <v>460</v>
      </c>
      <c r="L35" s="42">
        <f t="shared" si="10"/>
        <v>3190</v>
      </c>
      <c r="M35" s="42">
        <f t="shared" si="10"/>
        <v>110</v>
      </c>
      <c r="N35" s="42">
        <f t="shared" si="10"/>
        <v>690.0087786666667</v>
      </c>
      <c r="O35" s="39"/>
    </row>
    <row r="36" spans="1:15" ht="15.75" customHeight="1">
      <c r="A36" s="41"/>
      <c r="B36" s="58" t="s">
        <v>84</v>
      </c>
      <c r="C36" s="42">
        <f t="shared" si="4"/>
        <v>1722.5976</v>
      </c>
      <c r="D36" s="42">
        <v>1164.24</v>
      </c>
      <c r="E36" s="42">
        <v>-105.84</v>
      </c>
      <c r="F36" s="42">
        <v>-10.584000000000016</v>
      </c>
      <c r="G36" s="42">
        <v>116.424</v>
      </c>
      <c r="H36" s="42">
        <v>0</v>
      </c>
      <c r="I36" s="42">
        <v>-11.642400000000002</v>
      </c>
      <c r="J36" s="42">
        <v>350</v>
      </c>
      <c r="K36" s="42">
        <v>120</v>
      </c>
      <c r="L36" s="42">
        <v>-30</v>
      </c>
      <c r="M36" s="42">
        <v>130</v>
      </c>
      <c r="N36" s="42">
        <f t="shared" si="2"/>
        <v>114.83984000000001</v>
      </c>
      <c r="O36" s="39"/>
    </row>
    <row r="37" spans="1:15" ht="15.75" customHeight="1">
      <c r="A37" s="41"/>
      <c r="B37" s="58" t="s">
        <v>43</v>
      </c>
      <c r="C37" s="42">
        <f t="shared" si="4"/>
        <v>1006.63168</v>
      </c>
      <c r="D37" s="42">
        <v>340.03200000000004</v>
      </c>
      <c r="E37" s="42">
        <v>-30.912000000000003</v>
      </c>
      <c r="F37" s="42">
        <v>-3.0912000000000037</v>
      </c>
      <c r="G37" s="42">
        <v>34.00320000000001</v>
      </c>
      <c r="H37" s="42">
        <v>0</v>
      </c>
      <c r="I37" s="42">
        <v>-3.4003200000000007</v>
      </c>
      <c r="J37" s="42">
        <v>400</v>
      </c>
      <c r="K37" s="42">
        <v>70</v>
      </c>
      <c r="L37" s="42">
        <v>200</v>
      </c>
      <c r="M37" s="42"/>
      <c r="N37" s="42">
        <f t="shared" si="2"/>
        <v>67.10877866666667</v>
      </c>
      <c r="O37" s="39"/>
    </row>
    <row r="38" spans="1:15" ht="15.75" customHeight="1">
      <c r="A38" s="41"/>
      <c r="B38" s="58" t="s">
        <v>44</v>
      </c>
      <c r="C38" s="42">
        <f t="shared" si="4"/>
        <v>7358.54144</v>
      </c>
      <c r="D38" s="42">
        <v>291.456</v>
      </c>
      <c r="E38" s="42">
        <v>-26.496</v>
      </c>
      <c r="F38" s="42">
        <v>-2.649600000000004</v>
      </c>
      <c r="G38" s="42">
        <v>29.1456</v>
      </c>
      <c r="H38" s="42">
        <v>0</v>
      </c>
      <c r="I38" s="42">
        <v>-2.9145600000000003</v>
      </c>
      <c r="J38" s="42">
        <v>4000</v>
      </c>
      <c r="K38" s="42">
        <v>70</v>
      </c>
      <c r="L38" s="42">
        <v>3000</v>
      </c>
      <c r="M38" s="42"/>
      <c r="N38" s="42">
        <f t="shared" si="2"/>
        <v>490.56942933333335</v>
      </c>
      <c r="O38" s="39"/>
    </row>
    <row r="39" spans="1:15" ht="15.75" customHeight="1">
      <c r="A39" s="41"/>
      <c r="B39" s="58" t="s">
        <v>79</v>
      </c>
      <c r="C39" s="42">
        <f>SUM(D39:M39)-150</f>
        <v>262.36096</v>
      </c>
      <c r="D39" s="42">
        <v>194.304</v>
      </c>
      <c r="E39" s="42">
        <v>-17.663999999999998</v>
      </c>
      <c r="F39" s="42">
        <v>-1.7664000000000017</v>
      </c>
      <c r="G39" s="42">
        <v>19.430400000000002</v>
      </c>
      <c r="H39" s="42">
        <v>0</v>
      </c>
      <c r="I39" s="42">
        <v>-1.9430400000000003</v>
      </c>
      <c r="J39" s="42">
        <v>20</v>
      </c>
      <c r="K39" s="42">
        <v>200</v>
      </c>
      <c r="L39" s="42">
        <v>20</v>
      </c>
      <c r="M39" s="42">
        <v>-20</v>
      </c>
      <c r="N39" s="42">
        <f>C39/12*8*0.1</f>
        <v>17.490730666666664</v>
      </c>
      <c r="O39" s="42" t="s">
        <v>210</v>
      </c>
    </row>
    <row r="40" spans="1:15" ht="15.75" customHeight="1">
      <c r="A40" s="41">
        <v>9</v>
      </c>
      <c r="B40" s="58" t="s">
        <v>91</v>
      </c>
      <c r="C40" s="42">
        <f aca="true" t="shared" si="11" ref="C40:N40">C41+C42</f>
        <v>2798.1448560000003</v>
      </c>
      <c r="D40" s="42">
        <f t="shared" si="11"/>
        <v>1280.9544</v>
      </c>
      <c r="E40" s="42">
        <f t="shared" si="11"/>
        <v>-116.4504</v>
      </c>
      <c r="F40" s="42">
        <f t="shared" si="11"/>
        <v>-11.64504</v>
      </c>
      <c r="G40" s="42">
        <f t="shared" si="11"/>
        <v>128.09544</v>
      </c>
      <c r="H40" s="42">
        <f t="shared" si="11"/>
        <v>0</v>
      </c>
      <c r="I40" s="42">
        <f t="shared" si="11"/>
        <v>-12.809544000000002</v>
      </c>
      <c r="J40" s="42">
        <f t="shared" si="11"/>
        <v>970</v>
      </c>
      <c r="K40" s="42">
        <f t="shared" si="11"/>
        <v>370</v>
      </c>
      <c r="L40" s="42">
        <f t="shared" si="11"/>
        <v>60</v>
      </c>
      <c r="M40" s="42">
        <f t="shared" si="11"/>
        <v>130</v>
      </c>
      <c r="N40" s="42">
        <f t="shared" si="11"/>
        <v>186.54299040000004</v>
      </c>
      <c r="O40" s="39"/>
    </row>
    <row r="41" spans="1:15" ht="15.75" customHeight="1">
      <c r="A41" s="41"/>
      <c r="B41" s="58" t="s">
        <v>39</v>
      </c>
      <c r="C41" s="42">
        <f t="shared" si="4"/>
        <v>2446.5478000000003</v>
      </c>
      <c r="D41" s="42">
        <v>1067.22</v>
      </c>
      <c r="E41" s="42">
        <v>-97.02</v>
      </c>
      <c r="F41" s="42">
        <v>-9.701999999999998</v>
      </c>
      <c r="G41" s="42">
        <v>106.72200000000001</v>
      </c>
      <c r="H41" s="42">
        <v>0</v>
      </c>
      <c r="I41" s="42">
        <v>-10.672200000000002</v>
      </c>
      <c r="J41" s="42">
        <v>920</v>
      </c>
      <c r="K41" s="42">
        <v>370</v>
      </c>
      <c r="L41" s="42">
        <v>0</v>
      </c>
      <c r="M41" s="42">
        <v>100</v>
      </c>
      <c r="N41" s="42">
        <f t="shared" si="2"/>
        <v>163.10318666666672</v>
      </c>
      <c r="O41" s="39"/>
    </row>
    <row r="42" spans="1:15" ht="27" customHeight="1">
      <c r="A42" s="41"/>
      <c r="B42" s="143" t="s">
        <v>234</v>
      </c>
      <c r="C42" s="42">
        <f t="shared" si="4"/>
        <v>351.59705599999995</v>
      </c>
      <c r="D42" s="42">
        <v>213.7344</v>
      </c>
      <c r="E42" s="42">
        <v>-19.4304</v>
      </c>
      <c r="F42" s="42">
        <v>-1.943040000000002</v>
      </c>
      <c r="G42" s="42">
        <v>21.373440000000002</v>
      </c>
      <c r="H42" s="42">
        <v>0</v>
      </c>
      <c r="I42" s="42">
        <v>-2.137344</v>
      </c>
      <c r="J42" s="42">
        <v>50</v>
      </c>
      <c r="K42" s="42">
        <v>0</v>
      </c>
      <c r="L42" s="42">
        <v>60</v>
      </c>
      <c r="M42" s="42">
        <v>30</v>
      </c>
      <c r="N42" s="42">
        <f t="shared" si="2"/>
        <v>23.43980373333333</v>
      </c>
      <c r="O42" s="39"/>
    </row>
    <row r="43" spans="1:15" ht="15.75" customHeight="1">
      <c r="A43" s="41">
        <v>10</v>
      </c>
      <c r="B43" s="42" t="s">
        <v>53</v>
      </c>
      <c r="C43" s="42">
        <f aca="true" t="shared" si="12" ref="C43:N43">C44+C45</f>
        <v>1322.9392</v>
      </c>
      <c r="D43" s="42">
        <f t="shared" si="12"/>
        <v>1114.08</v>
      </c>
      <c r="E43" s="42">
        <f t="shared" si="12"/>
        <v>-101.28</v>
      </c>
      <c r="F43" s="42">
        <f t="shared" si="12"/>
        <v>-10.128000000000004</v>
      </c>
      <c r="G43" s="42">
        <f t="shared" si="12"/>
        <v>111.40800000000002</v>
      </c>
      <c r="H43" s="42">
        <f t="shared" si="12"/>
        <v>0</v>
      </c>
      <c r="I43" s="42">
        <f t="shared" si="12"/>
        <v>-11.140800000000002</v>
      </c>
      <c r="J43" s="42">
        <f t="shared" si="12"/>
        <v>20</v>
      </c>
      <c r="K43" s="42">
        <f t="shared" si="12"/>
        <v>0</v>
      </c>
      <c r="L43" s="42">
        <f t="shared" si="12"/>
        <v>200</v>
      </c>
      <c r="M43" s="42">
        <f t="shared" si="12"/>
        <v>0</v>
      </c>
      <c r="N43" s="42">
        <f t="shared" si="12"/>
        <v>88.19594666666666</v>
      </c>
      <c r="O43" s="39"/>
    </row>
    <row r="44" spans="1:15" ht="15.75" customHeight="1">
      <c r="A44" s="41"/>
      <c r="B44" s="42" t="s">
        <v>237</v>
      </c>
      <c r="C44" s="42">
        <f t="shared" si="4"/>
        <v>775.3304</v>
      </c>
      <c r="D44" s="42">
        <v>762.96</v>
      </c>
      <c r="E44" s="42">
        <v>-69.36</v>
      </c>
      <c r="F44" s="42">
        <v>-6.936000000000002</v>
      </c>
      <c r="G44" s="42">
        <v>76.296</v>
      </c>
      <c r="H44" s="42">
        <v>0</v>
      </c>
      <c r="I44" s="42">
        <v>-7.629600000000001</v>
      </c>
      <c r="J44" s="42">
        <v>20</v>
      </c>
      <c r="K44" s="42">
        <v>0</v>
      </c>
      <c r="L44" s="42"/>
      <c r="M44" s="42"/>
      <c r="N44" s="42">
        <f t="shared" si="2"/>
        <v>51.68869333333333</v>
      </c>
      <c r="O44" s="39"/>
    </row>
    <row r="45" spans="1:15" ht="15.75" customHeight="1">
      <c r="A45" s="71"/>
      <c r="B45" s="63" t="s">
        <v>45</v>
      </c>
      <c r="C45" s="63">
        <f t="shared" si="4"/>
        <v>547.6088</v>
      </c>
      <c r="D45" s="63">
        <v>351.12</v>
      </c>
      <c r="E45" s="63">
        <v>-31.92</v>
      </c>
      <c r="F45" s="63">
        <v>-3.192000000000002</v>
      </c>
      <c r="G45" s="63">
        <v>35.112</v>
      </c>
      <c r="H45" s="63">
        <v>0</v>
      </c>
      <c r="I45" s="63">
        <v>-3.5112000000000005</v>
      </c>
      <c r="J45" s="63">
        <v>0</v>
      </c>
      <c r="K45" s="63">
        <v>0</v>
      </c>
      <c r="L45" s="63">
        <v>200</v>
      </c>
      <c r="M45" s="63"/>
      <c r="N45" s="63">
        <f t="shared" si="2"/>
        <v>36.50725333333333</v>
      </c>
      <c r="O45" s="62"/>
    </row>
    <row r="46" spans="1:15" ht="15.75" customHeight="1">
      <c r="A46" s="68">
        <v>11</v>
      </c>
      <c r="B46" s="69" t="s">
        <v>238</v>
      </c>
      <c r="C46" s="70">
        <f aca="true" t="shared" si="13" ref="C46:N46">C47+C48</f>
        <v>858.7042399999999</v>
      </c>
      <c r="D46" s="70">
        <f t="shared" si="13"/>
        <v>847.1759999999999</v>
      </c>
      <c r="E46" s="70">
        <f t="shared" si="13"/>
        <v>-77.016</v>
      </c>
      <c r="F46" s="70">
        <f t="shared" si="13"/>
        <v>-7.701600000000008</v>
      </c>
      <c r="G46" s="70">
        <f t="shared" si="13"/>
        <v>84.7176</v>
      </c>
      <c r="H46" s="70">
        <f t="shared" si="13"/>
        <v>0</v>
      </c>
      <c r="I46" s="70">
        <f t="shared" si="13"/>
        <v>-8.47176</v>
      </c>
      <c r="J46" s="70">
        <f t="shared" si="13"/>
        <v>20</v>
      </c>
      <c r="K46" s="70">
        <f t="shared" si="13"/>
        <v>0</v>
      </c>
      <c r="L46" s="70">
        <f t="shared" si="13"/>
        <v>0</v>
      </c>
      <c r="M46" s="70">
        <f t="shared" si="13"/>
        <v>0</v>
      </c>
      <c r="N46" s="70">
        <f t="shared" si="13"/>
        <v>57.24694933333333</v>
      </c>
      <c r="O46" s="35"/>
    </row>
    <row r="47" spans="1:15" ht="15.75" customHeight="1">
      <c r="A47" s="41"/>
      <c r="B47" s="58" t="s">
        <v>40</v>
      </c>
      <c r="C47" s="42">
        <f t="shared" si="4"/>
        <v>690.3883999999999</v>
      </c>
      <c r="D47" s="42">
        <v>677.16</v>
      </c>
      <c r="E47" s="42">
        <v>-61.56</v>
      </c>
      <c r="F47" s="42">
        <v>-6.156000000000006</v>
      </c>
      <c r="G47" s="42">
        <v>67.716</v>
      </c>
      <c r="H47" s="42">
        <v>0</v>
      </c>
      <c r="I47" s="42">
        <v>-6.771599999999999</v>
      </c>
      <c r="J47" s="42">
        <v>20</v>
      </c>
      <c r="K47" s="42">
        <v>0</v>
      </c>
      <c r="L47" s="42"/>
      <c r="M47" s="42"/>
      <c r="N47" s="42">
        <f t="shared" si="2"/>
        <v>46.02589333333333</v>
      </c>
      <c r="O47" s="39"/>
    </row>
    <row r="48" spans="1:15" ht="15.75" customHeight="1">
      <c r="A48" s="41"/>
      <c r="B48" s="58" t="s">
        <v>51</v>
      </c>
      <c r="C48" s="42">
        <f t="shared" si="4"/>
        <v>168.31584</v>
      </c>
      <c r="D48" s="42">
        <v>170.01600000000002</v>
      </c>
      <c r="E48" s="42">
        <v>-15.456000000000001</v>
      </c>
      <c r="F48" s="42">
        <v>-1.5456000000000019</v>
      </c>
      <c r="G48" s="42">
        <v>17.001600000000003</v>
      </c>
      <c r="H48" s="42">
        <v>0</v>
      </c>
      <c r="I48" s="42">
        <v>-1.7001600000000003</v>
      </c>
      <c r="J48" s="42">
        <v>0</v>
      </c>
      <c r="K48" s="42">
        <v>0</v>
      </c>
      <c r="L48" s="42"/>
      <c r="M48" s="42"/>
      <c r="N48" s="42">
        <f t="shared" si="2"/>
        <v>11.221056</v>
      </c>
      <c r="O48" s="39"/>
    </row>
    <row r="49" spans="1:15" ht="15.75" customHeight="1">
      <c r="A49" s="41">
        <v>12</v>
      </c>
      <c r="B49" s="58" t="s">
        <v>25</v>
      </c>
      <c r="C49" s="42">
        <f aca="true" t="shared" si="14" ref="C49:N49">C50+C51</f>
        <v>1577.2757114285712</v>
      </c>
      <c r="D49" s="42">
        <f t="shared" si="14"/>
        <v>896.556</v>
      </c>
      <c r="E49" s="42">
        <f t="shared" si="14"/>
        <v>-81.57600000000001</v>
      </c>
      <c r="F49" s="42">
        <f t="shared" si="14"/>
        <v>-8.079600000000008</v>
      </c>
      <c r="G49" s="42">
        <f t="shared" si="14"/>
        <v>89.6556</v>
      </c>
      <c r="H49" s="42">
        <f t="shared" si="14"/>
        <v>55.20585714285715</v>
      </c>
      <c r="I49" s="42">
        <f t="shared" si="14"/>
        <v>-14.486145714285717</v>
      </c>
      <c r="J49" s="42">
        <f t="shared" si="14"/>
        <v>218</v>
      </c>
      <c r="K49" s="42">
        <f t="shared" si="14"/>
        <v>150</v>
      </c>
      <c r="L49" s="42">
        <f t="shared" si="14"/>
        <v>172</v>
      </c>
      <c r="M49" s="42">
        <f t="shared" si="14"/>
        <v>100</v>
      </c>
      <c r="N49" s="42">
        <f t="shared" si="14"/>
        <v>105.15171409523809</v>
      </c>
      <c r="O49" s="39"/>
    </row>
    <row r="50" spans="1:15" ht="15.75" customHeight="1">
      <c r="A50" s="41"/>
      <c r="B50" s="58" t="s">
        <v>239</v>
      </c>
      <c r="C50" s="42">
        <f t="shared" si="4"/>
        <v>1145.2790714285711</v>
      </c>
      <c r="D50" s="42">
        <v>702.62</v>
      </c>
      <c r="E50" s="42">
        <v>-66.12</v>
      </c>
      <c r="F50" s="42">
        <v>-4.1420000000000075</v>
      </c>
      <c r="G50" s="42">
        <v>70.262</v>
      </c>
      <c r="H50" s="42">
        <v>55.20585714285715</v>
      </c>
      <c r="I50" s="42">
        <v>-12.546785714285717</v>
      </c>
      <c r="J50" s="42">
        <v>120</v>
      </c>
      <c r="K50" s="42">
        <v>100</v>
      </c>
      <c r="L50" s="42">
        <v>80</v>
      </c>
      <c r="M50" s="42">
        <v>100</v>
      </c>
      <c r="N50" s="42">
        <f t="shared" si="2"/>
        <v>76.35193809523808</v>
      </c>
      <c r="O50" s="39"/>
    </row>
    <row r="51" spans="1:15" ht="15.75" customHeight="1">
      <c r="A51" s="41"/>
      <c r="B51" s="58" t="s">
        <v>46</v>
      </c>
      <c r="C51" s="42">
        <f t="shared" si="4"/>
        <v>431.99664</v>
      </c>
      <c r="D51" s="42">
        <v>193.936</v>
      </c>
      <c r="E51" s="42">
        <v>-15.456000000000001</v>
      </c>
      <c r="F51" s="42">
        <v>-3.9376000000000007</v>
      </c>
      <c r="G51" s="42">
        <v>19.393600000000003</v>
      </c>
      <c r="H51" s="42">
        <v>0</v>
      </c>
      <c r="I51" s="42">
        <v>-1.9393600000000004</v>
      </c>
      <c r="J51" s="42">
        <v>98</v>
      </c>
      <c r="K51" s="42">
        <v>50</v>
      </c>
      <c r="L51" s="42">
        <v>92</v>
      </c>
      <c r="M51" s="42"/>
      <c r="N51" s="42">
        <f t="shared" si="2"/>
        <v>28.799776000000005</v>
      </c>
      <c r="O51" s="39"/>
    </row>
    <row r="52" spans="1:15" ht="15.75" customHeight="1">
      <c r="A52" s="41">
        <v>13</v>
      </c>
      <c r="B52" s="58" t="s">
        <v>240</v>
      </c>
      <c r="C52" s="42">
        <f t="shared" si="4"/>
        <v>1057.106</v>
      </c>
      <c r="D52" s="42">
        <v>1049.4</v>
      </c>
      <c r="E52" s="42">
        <v>-95.4</v>
      </c>
      <c r="F52" s="42">
        <v>-9.54000000000001</v>
      </c>
      <c r="G52" s="42">
        <v>102.94</v>
      </c>
      <c r="H52" s="42">
        <v>0</v>
      </c>
      <c r="I52" s="42">
        <v>-10.294000000000002</v>
      </c>
      <c r="J52" s="42">
        <v>20</v>
      </c>
      <c r="K52" s="42">
        <v>0</v>
      </c>
      <c r="L52" s="42"/>
      <c r="M52" s="42"/>
      <c r="N52" s="42">
        <f t="shared" si="2"/>
        <v>70.47373333333334</v>
      </c>
      <c r="O52" s="39"/>
    </row>
    <row r="53" spans="1:15" ht="15.75" customHeight="1">
      <c r="A53" s="41">
        <v>14</v>
      </c>
      <c r="B53" s="42" t="s">
        <v>36</v>
      </c>
      <c r="C53" s="42">
        <f t="shared" si="4"/>
        <v>4278.11</v>
      </c>
      <c r="D53" s="42">
        <v>1089</v>
      </c>
      <c r="E53" s="42">
        <v>-99</v>
      </c>
      <c r="F53" s="42">
        <v>-9.9</v>
      </c>
      <c r="G53" s="42">
        <v>108.9</v>
      </c>
      <c r="H53" s="42">
        <v>0</v>
      </c>
      <c r="I53" s="42">
        <v>-10.89</v>
      </c>
      <c r="J53" s="42">
        <v>950</v>
      </c>
      <c r="K53" s="42">
        <v>450</v>
      </c>
      <c r="L53" s="42">
        <v>2000</v>
      </c>
      <c r="M53" s="42">
        <v>-200</v>
      </c>
      <c r="N53" s="42">
        <f t="shared" si="2"/>
        <v>285.20733333333334</v>
      </c>
      <c r="O53" s="39"/>
    </row>
    <row r="54" spans="1:15" ht="15.75" customHeight="1">
      <c r="A54" s="41">
        <v>15</v>
      </c>
      <c r="B54" s="42" t="s">
        <v>241</v>
      </c>
      <c r="C54" s="42">
        <f t="shared" si="4"/>
        <v>1019.702</v>
      </c>
      <c r="D54" s="42">
        <v>1009.8</v>
      </c>
      <c r="E54" s="42">
        <v>-91.8</v>
      </c>
      <c r="F54" s="42">
        <v>-9.180000000000007</v>
      </c>
      <c r="G54" s="42">
        <v>100.98</v>
      </c>
      <c r="H54" s="42">
        <v>0</v>
      </c>
      <c r="I54" s="42">
        <v>-10.098</v>
      </c>
      <c r="J54" s="42">
        <v>20</v>
      </c>
      <c r="K54" s="42">
        <v>0</v>
      </c>
      <c r="L54" s="42"/>
      <c r="M54" s="42"/>
      <c r="N54" s="42">
        <f t="shared" si="2"/>
        <v>67.98013333333334</v>
      </c>
      <c r="O54" s="39"/>
    </row>
    <row r="55" spans="1:15" ht="15.75" customHeight="1">
      <c r="A55" s="41">
        <v>16</v>
      </c>
      <c r="B55" s="58" t="s">
        <v>141</v>
      </c>
      <c r="C55" s="42">
        <f t="shared" si="4"/>
        <v>1919.354</v>
      </c>
      <c r="D55" s="42">
        <v>1524.6</v>
      </c>
      <c r="E55" s="42">
        <v>-138.6</v>
      </c>
      <c r="F55" s="42">
        <v>-13.86</v>
      </c>
      <c r="G55" s="42">
        <v>152.46</v>
      </c>
      <c r="H55" s="42">
        <v>0</v>
      </c>
      <c r="I55" s="42">
        <v>-15.246000000000002</v>
      </c>
      <c r="J55" s="42">
        <v>190</v>
      </c>
      <c r="K55" s="42">
        <v>200</v>
      </c>
      <c r="L55" s="42">
        <v>20</v>
      </c>
      <c r="M55" s="42"/>
      <c r="N55" s="42">
        <f t="shared" si="2"/>
        <v>127.95693333333334</v>
      </c>
      <c r="O55" s="39"/>
    </row>
    <row r="56" spans="1:15" ht="15.75" customHeight="1">
      <c r="A56" s="41">
        <v>17</v>
      </c>
      <c r="B56" s="42" t="s">
        <v>83</v>
      </c>
      <c r="C56" s="42">
        <f t="shared" si="4"/>
        <v>2002.5976</v>
      </c>
      <c r="D56" s="42">
        <v>1164.24</v>
      </c>
      <c r="E56" s="42">
        <v>-105.84</v>
      </c>
      <c r="F56" s="42">
        <v>-10.584000000000016</v>
      </c>
      <c r="G56" s="42">
        <v>116.424</v>
      </c>
      <c r="H56" s="42">
        <v>0</v>
      </c>
      <c r="I56" s="42">
        <v>-11.642400000000002</v>
      </c>
      <c r="J56" s="42">
        <v>565</v>
      </c>
      <c r="K56" s="42">
        <v>150</v>
      </c>
      <c r="L56" s="42">
        <v>135</v>
      </c>
      <c r="M56" s="42">
        <v>0</v>
      </c>
      <c r="N56" s="42">
        <f t="shared" si="2"/>
        <v>133.5065066666667</v>
      </c>
      <c r="O56" s="39"/>
    </row>
    <row r="57" spans="1:15" ht="15.75" customHeight="1">
      <c r="A57" s="41">
        <v>18</v>
      </c>
      <c r="B57" s="42" t="s">
        <v>26</v>
      </c>
      <c r="C57" s="42">
        <f t="shared" si="4"/>
        <v>1639.7616</v>
      </c>
      <c r="D57" s="42">
        <v>807.84</v>
      </c>
      <c r="E57" s="42">
        <v>-73.44</v>
      </c>
      <c r="F57" s="42">
        <v>-7.344000000000006</v>
      </c>
      <c r="G57" s="42">
        <v>80.784</v>
      </c>
      <c r="H57" s="42">
        <v>0</v>
      </c>
      <c r="I57" s="42">
        <v>-8.0784</v>
      </c>
      <c r="J57" s="42">
        <v>340</v>
      </c>
      <c r="K57" s="42">
        <v>100</v>
      </c>
      <c r="L57" s="42">
        <v>200</v>
      </c>
      <c r="M57" s="42">
        <v>200</v>
      </c>
      <c r="N57" s="42">
        <f t="shared" si="2"/>
        <v>109.31744000000002</v>
      </c>
      <c r="O57" s="39"/>
    </row>
    <row r="58" spans="1:15" ht="15.75" customHeight="1">
      <c r="A58" s="41">
        <v>19</v>
      </c>
      <c r="B58" s="42" t="s">
        <v>30</v>
      </c>
      <c r="C58" s="42">
        <f t="shared" si="4"/>
        <v>1828.107</v>
      </c>
      <c r="D58" s="42">
        <v>1119.3</v>
      </c>
      <c r="E58" s="42">
        <v>-86.96</v>
      </c>
      <c r="F58" s="42">
        <v>-24.97</v>
      </c>
      <c r="G58" s="42">
        <v>111.93</v>
      </c>
      <c r="H58" s="42">
        <v>0</v>
      </c>
      <c r="I58" s="42">
        <v>-11.193000000000001</v>
      </c>
      <c r="J58" s="42">
        <v>349</v>
      </c>
      <c r="K58" s="42">
        <v>195</v>
      </c>
      <c r="L58" s="42">
        <v>176</v>
      </c>
      <c r="M58" s="42"/>
      <c r="N58" s="42">
        <f t="shared" si="2"/>
        <v>121.87380000000002</v>
      </c>
      <c r="O58" s="39"/>
    </row>
    <row r="59" spans="1:15" ht="15.75" customHeight="1">
      <c r="A59" s="41">
        <v>20</v>
      </c>
      <c r="B59" s="58" t="s">
        <v>27</v>
      </c>
      <c r="C59" s="42">
        <f t="shared" si="4"/>
        <v>2600.9546</v>
      </c>
      <c r="D59" s="42">
        <v>758.54</v>
      </c>
      <c r="E59" s="42">
        <v>-66.24</v>
      </c>
      <c r="F59" s="42">
        <v>-9.613999999999999</v>
      </c>
      <c r="G59" s="42">
        <v>75.854</v>
      </c>
      <c r="H59" s="42">
        <v>0</v>
      </c>
      <c r="I59" s="42">
        <v>-7.5854</v>
      </c>
      <c r="J59" s="42">
        <v>1700</v>
      </c>
      <c r="K59" s="42">
        <v>100</v>
      </c>
      <c r="L59" s="42"/>
      <c r="M59" s="42">
        <v>50</v>
      </c>
      <c r="N59" s="42">
        <f t="shared" si="2"/>
        <v>173.39697333333334</v>
      </c>
      <c r="O59" s="39"/>
    </row>
    <row r="60" spans="1:15" ht="15.75" customHeight="1">
      <c r="A60" s="41">
        <v>21</v>
      </c>
      <c r="B60" s="58" t="s">
        <v>41</v>
      </c>
      <c r="C60" s="42">
        <f t="shared" si="4"/>
        <v>1288.5648</v>
      </c>
      <c r="D60" s="42">
        <v>695.52</v>
      </c>
      <c r="E60" s="42">
        <v>-57.96</v>
      </c>
      <c r="F60" s="42">
        <v>-11.591999999999997</v>
      </c>
      <c r="G60" s="42">
        <v>69.552</v>
      </c>
      <c r="H60" s="42">
        <v>0</v>
      </c>
      <c r="I60" s="42">
        <v>-6.955200000000001</v>
      </c>
      <c r="J60" s="42">
        <v>370</v>
      </c>
      <c r="K60" s="42">
        <v>150</v>
      </c>
      <c r="L60" s="42">
        <v>80</v>
      </c>
      <c r="M60" s="42"/>
      <c r="N60" s="42">
        <f t="shared" si="2"/>
        <v>85.90432000000001</v>
      </c>
      <c r="O60" s="39"/>
    </row>
    <row r="61" spans="1:15" ht="15.75" customHeight="1">
      <c r="A61" s="41">
        <v>22</v>
      </c>
      <c r="B61" s="58" t="s">
        <v>227</v>
      </c>
      <c r="C61" s="42">
        <f t="shared" si="4"/>
        <v>3457.97862</v>
      </c>
      <c r="D61" s="42">
        <v>795.9380000000001</v>
      </c>
      <c r="E61" s="42">
        <v>-72.358</v>
      </c>
      <c r="F61" s="42">
        <v>-7.2358000000000064</v>
      </c>
      <c r="G61" s="42">
        <v>79.59380000000002</v>
      </c>
      <c r="H61" s="42">
        <v>0</v>
      </c>
      <c r="I61" s="42">
        <v>-7.959380000000002</v>
      </c>
      <c r="J61" s="42">
        <v>2120</v>
      </c>
      <c r="K61" s="42">
        <v>350</v>
      </c>
      <c r="L61" s="42">
        <v>350</v>
      </c>
      <c r="M61" s="42">
        <v>-150</v>
      </c>
      <c r="N61" s="42">
        <f t="shared" si="2"/>
        <v>230.531908</v>
      </c>
      <c r="O61" s="39"/>
    </row>
    <row r="62" spans="1:15" ht="15.75" customHeight="1">
      <c r="A62" s="41">
        <v>23</v>
      </c>
      <c r="B62" s="42" t="s">
        <v>228</v>
      </c>
      <c r="C62" s="42">
        <f t="shared" si="4"/>
        <v>920.5556</v>
      </c>
      <c r="D62" s="42">
        <v>788.44</v>
      </c>
      <c r="E62" s="42">
        <v>-66.24</v>
      </c>
      <c r="F62" s="42">
        <v>-12.603999999999997</v>
      </c>
      <c r="G62" s="42">
        <v>78.84400000000001</v>
      </c>
      <c r="H62" s="42">
        <v>0</v>
      </c>
      <c r="I62" s="42">
        <v>-7.884400000000001</v>
      </c>
      <c r="J62" s="42">
        <v>20</v>
      </c>
      <c r="K62" s="42">
        <v>80</v>
      </c>
      <c r="L62" s="42"/>
      <c r="M62" s="42">
        <v>40</v>
      </c>
      <c r="N62" s="42">
        <f t="shared" si="2"/>
        <v>61.37037333333334</v>
      </c>
      <c r="O62" s="39"/>
    </row>
    <row r="63" spans="1:15" ht="15.75" customHeight="1">
      <c r="A63" s="41">
        <v>24</v>
      </c>
      <c r="B63" s="57" t="s">
        <v>229</v>
      </c>
      <c r="C63" s="42">
        <f t="shared" si="4"/>
        <v>1472.3648799999999</v>
      </c>
      <c r="D63" s="42">
        <v>734.712</v>
      </c>
      <c r="E63" s="42">
        <v>-66.792</v>
      </c>
      <c r="F63" s="42">
        <v>-6.679200000000003</v>
      </c>
      <c r="G63" s="42">
        <v>73.4712</v>
      </c>
      <c r="H63" s="42">
        <v>0</v>
      </c>
      <c r="I63" s="42">
        <v>-7.34712</v>
      </c>
      <c r="J63" s="42">
        <v>505</v>
      </c>
      <c r="K63" s="42">
        <v>100</v>
      </c>
      <c r="L63" s="42">
        <v>20</v>
      </c>
      <c r="M63" s="42">
        <v>120</v>
      </c>
      <c r="N63" s="42">
        <f t="shared" si="2"/>
        <v>98.15765866666666</v>
      </c>
      <c r="O63" s="39"/>
    </row>
    <row r="64" spans="1:15" ht="15.75" customHeight="1">
      <c r="A64" s="41">
        <v>25</v>
      </c>
      <c r="B64" s="57" t="s">
        <v>242</v>
      </c>
      <c r="C64" s="42">
        <f t="shared" si="4"/>
        <v>460.7332</v>
      </c>
      <c r="D64" s="42">
        <v>394.68</v>
      </c>
      <c r="E64" s="42">
        <v>-35.88</v>
      </c>
      <c r="F64" s="42">
        <v>-3.5880000000000054</v>
      </c>
      <c r="G64" s="42">
        <v>39.468</v>
      </c>
      <c r="H64" s="42">
        <v>0</v>
      </c>
      <c r="I64" s="42">
        <v>-3.9468000000000005</v>
      </c>
      <c r="J64" s="42">
        <v>20</v>
      </c>
      <c r="K64" s="42">
        <v>50</v>
      </c>
      <c r="L64" s="42"/>
      <c r="M64" s="42"/>
      <c r="N64" s="42">
        <f t="shared" si="2"/>
        <v>30.71554666666667</v>
      </c>
      <c r="O64" s="39"/>
    </row>
    <row r="65" spans="1:15" ht="15.75" customHeight="1">
      <c r="A65" s="41">
        <v>26</v>
      </c>
      <c r="B65" s="42" t="s">
        <v>23</v>
      </c>
      <c r="C65" s="42">
        <f>SUM(D65:M65)-300</f>
        <v>1025.6954</v>
      </c>
      <c r="D65" s="42">
        <v>576.46</v>
      </c>
      <c r="E65" s="42">
        <v>-50.16</v>
      </c>
      <c r="F65" s="42">
        <v>-7.486000000000013</v>
      </c>
      <c r="G65" s="42">
        <v>57.64600000000001</v>
      </c>
      <c r="H65" s="42">
        <v>0</v>
      </c>
      <c r="I65" s="42">
        <v>-5.7646000000000015</v>
      </c>
      <c r="J65" s="42">
        <v>505</v>
      </c>
      <c r="K65" s="42">
        <v>100</v>
      </c>
      <c r="L65" s="42">
        <v>100</v>
      </c>
      <c r="M65" s="42">
        <v>50</v>
      </c>
      <c r="N65" s="42">
        <f t="shared" si="2"/>
        <v>68.37969333333335</v>
      </c>
      <c r="O65" s="42" t="s">
        <v>211</v>
      </c>
    </row>
    <row r="66" spans="1:15" ht="15.75" customHeight="1">
      <c r="A66" s="41">
        <v>27</v>
      </c>
      <c r="B66" s="57" t="s">
        <v>140</v>
      </c>
      <c r="C66" s="42">
        <f t="shared" si="4"/>
        <v>1137.987</v>
      </c>
      <c r="D66" s="42">
        <v>807.3</v>
      </c>
      <c r="E66" s="42">
        <v>-76.52</v>
      </c>
      <c r="F66" s="42">
        <v>-3.4500000000000117</v>
      </c>
      <c r="G66" s="42">
        <v>80.73</v>
      </c>
      <c r="H66" s="42">
        <v>0</v>
      </c>
      <c r="I66" s="42">
        <v>-8.073</v>
      </c>
      <c r="J66" s="42">
        <v>156</v>
      </c>
      <c r="K66" s="42">
        <v>150</v>
      </c>
      <c r="L66" s="42">
        <v>32</v>
      </c>
      <c r="M66" s="42"/>
      <c r="N66" s="42">
        <f t="shared" si="2"/>
        <v>75.86580000000001</v>
      </c>
      <c r="O66" s="39"/>
    </row>
    <row r="67" spans="1:15" ht="15.75" customHeight="1">
      <c r="A67" s="41">
        <v>28</v>
      </c>
      <c r="B67" s="58" t="s">
        <v>243</v>
      </c>
      <c r="C67" s="42">
        <f t="shared" si="4"/>
        <v>716.7444800000001</v>
      </c>
      <c r="D67" s="42">
        <v>400.752</v>
      </c>
      <c r="E67" s="42">
        <v>-36.432</v>
      </c>
      <c r="F67" s="42">
        <v>-3.643200000000002</v>
      </c>
      <c r="G67" s="42">
        <v>40.0752</v>
      </c>
      <c r="H67" s="42">
        <v>0</v>
      </c>
      <c r="I67" s="42">
        <v>-4.00752</v>
      </c>
      <c r="J67" s="42">
        <v>370</v>
      </c>
      <c r="K67" s="42">
        <v>80</v>
      </c>
      <c r="L67" s="42">
        <v>-200</v>
      </c>
      <c r="M67" s="42">
        <v>70</v>
      </c>
      <c r="N67" s="42">
        <f t="shared" si="2"/>
        <v>47.782965333333344</v>
      </c>
      <c r="O67" s="39"/>
    </row>
    <row r="68" spans="1:15" ht="15.75" customHeight="1">
      <c r="A68" s="41">
        <v>29</v>
      </c>
      <c r="B68" s="57" t="s">
        <v>193</v>
      </c>
      <c r="C68" s="42">
        <f>SUM(D68:M68)-11</f>
        <v>618.601</v>
      </c>
      <c r="D68" s="42">
        <v>29.9</v>
      </c>
      <c r="E68" s="42">
        <v>-2.2079999999999997</v>
      </c>
      <c r="F68" s="42">
        <v>-0.7820000000000005</v>
      </c>
      <c r="G68" s="42">
        <v>2.99</v>
      </c>
      <c r="H68" s="42">
        <v>0</v>
      </c>
      <c r="I68" s="42">
        <v>-0.29900000000000004</v>
      </c>
      <c r="J68" s="42">
        <v>600</v>
      </c>
      <c r="K68" s="42">
        <v>0</v>
      </c>
      <c r="L68" s="42"/>
      <c r="M68" s="42"/>
      <c r="N68" s="42">
        <f t="shared" si="2"/>
        <v>41.24006666666667</v>
      </c>
      <c r="O68" s="42" t="s">
        <v>212</v>
      </c>
    </row>
    <row r="69" spans="1:15" ht="15.75" customHeight="1">
      <c r="A69" s="41">
        <v>30</v>
      </c>
      <c r="B69" s="57" t="s">
        <v>167</v>
      </c>
      <c r="C69" s="42">
        <f t="shared" si="4"/>
        <v>413.8134</v>
      </c>
      <c r="D69" s="42">
        <v>64.66</v>
      </c>
      <c r="E69" s="42">
        <v>-3.16</v>
      </c>
      <c r="F69" s="42">
        <v>-3.306000000000001</v>
      </c>
      <c r="G69" s="42">
        <v>6.466</v>
      </c>
      <c r="H69" s="42">
        <v>0</v>
      </c>
      <c r="I69" s="42">
        <v>-0.6466000000000001</v>
      </c>
      <c r="J69" s="42">
        <v>349.8</v>
      </c>
      <c r="K69" s="42">
        <v>0</v>
      </c>
      <c r="L69" s="42"/>
      <c r="M69" s="42"/>
      <c r="N69" s="42">
        <f t="shared" si="2"/>
        <v>27.587560000000003</v>
      </c>
      <c r="O69" s="39"/>
    </row>
    <row r="70" spans="1:15" ht="5.25" customHeight="1">
      <c r="A70" s="59"/>
      <c r="B70" s="60"/>
      <c r="C70" s="61"/>
      <c r="D70" s="62"/>
      <c r="E70" s="62"/>
      <c r="F70" s="62"/>
      <c r="G70" s="62"/>
      <c r="H70" s="62"/>
      <c r="I70" s="62"/>
      <c r="J70" s="62"/>
      <c r="K70" s="62"/>
      <c r="L70" s="63"/>
      <c r="M70" s="63"/>
      <c r="N70" s="61"/>
      <c r="O70" s="61"/>
    </row>
    <row r="71" ht="13.5">
      <c r="D71" s="66"/>
    </row>
    <row r="72" ht="13.5">
      <c r="D72" s="66"/>
    </row>
    <row r="73" ht="13.5">
      <c r="D73" s="66"/>
    </row>
    <row r="74" spans="2:4" ht="13.5">
      <c r="B74" s="67"/>
      <c r="D74" s="66"/>
    </row>
    <row r="75" ht="13.5">
      <c r="D75" s="66"/>
    </row>
    <row r="76" ht="13.5">
      <c r="D76" s="66"/>
    </row>
    <row r="77" ht="13.5">
      <c r="D77" s="66"/>
    </row>
    <row r="78" ht="13.5">
      <c r="D78" s="66"/>
    </row>
    <row r="79" ht="13.5">
      <c r="D79" s="66"/>
    </row>
    <row r="80" ht="13.5">
      <c r="D80" s="66"/>
    </row>
  </sheetData>
  <sheetProtection/>
  <mergeCells count="11">
    <mergeCell ref="B3:B5"/>
    <mergeCell ref="C3:C5"/>
    <mergeCell ref="O3:O5"/>
    <mergeCell ref="A1:O1"/>
    <mergeCell ref="N3:N5"/>
    <mergeCell ref="L4:M4"/>
    <mergeCell ref="J4:K4"/>
    <mergeCell ref="D3:M3"/>
    <mergeCell ref="D4:F4"/>
    <mergeCell ref="G4:I4"/>
    <mergeCell ref="A3:A5"/>
  </mergeCells>
  <printOptions/>
  <pageMargins left="0.76" right="0.65" top="0.75" bottom="0.65" header="0.25" footer="0.2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4"/>
  <sheetViews>
    <sheetView zoomScalePageLayoutView="0" workbookViewId="0" topLeftCell="A1">
      <selection activeCell="M3" sqref="M3:M5"/>
    </sheetView>
  </sheetViews>
  <sheetFormatPr defaultColWidth="9.09765625" defaultRowHeight="14.25"/>
  <cols>
    <col min="1" max="1" width="5.3984375" style="54" customWidth="1"/>
    <col min="2" max="2" width="37.3984375" style="54" customWidth="1"/>
    <col min="3" max="3" width="16.8984375" style="54" hidden="1" customWidth="1"/>
    <col min="4" max="4" width="7.8984375" style="54" hidden="1" customWidth="1"/>
    <col min="5" max="7" width="6.69921875" style="54" hidden="1" customWidth="1"/>
    <col min="8" max="8" width="6.3984375" style="54" hidden="1" customWidth="1"/>
    <col min="9" max="9" width="6.09765625" style="54" hidden="1" customWidth="1"/>
    <col min="10" max="10" width="5.3984375" style="54" hidden="1" customWidth="1"/>
    <col min="11" max="11" width="5.8984375" style="54" hidden="1" customWidth="1"/>
    <col min="12" max="12" width="13" style="54" hidden="1" customWidth="1"/>
    <col min="13" max="13" width="16.69921875" style="54" customWidth="1"/>
    <col min="14" max="14" width="38.3984375" style="80" customWidth="1"/>
    <col min="15" max="16384" width="9.09765625" style="54" customWidth="1"/>
  </cols>
  <sheetData>
    <row r="1" spans="1:14" s="46" customFormat="1" ht="31.5" customHeight="1">
      <c r="A1" s="156" t="s">
        <v>268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</row>
    <row r="2" spans="2:14" s="46" customFormat="1" ht="24" customHeight="1">
      <c r="B2" s="31"/>
      <c r="C2" s="31"/>
      <c r="D2" s="31"/>
      <c r="E2" s="31"/>
      <c r="F2" s="31"/>
      <c r="G2" s="31"/>
      <c r="H2" s="31"/>
      <c r="I2" s="31"/>
      <c r="J2" s="31"/>
      <c r="K2" s="52" t="s">
        <v>29</v>
      </c>
      <c r="L2" s="31"/>
      <c r="M2" s="31"/>
      <c r="N2" s="50" t="s">
        <v>29</v>
      </c>
    </row>
    <row r="3" spans="1:14" ht="18.75" customHeight="1">
      <c r="A3" s="153" t="s">
        <v>20</v>
      </c>
      <c r="B3" s="166" t="s">
        <v>21</v>
      </c>
      <c r="C3" s="171" t="s">
        <v>187</v>
      </c>
      <c r="D3" s="168" t="s">
        <v>3</v>
      </c>
      <c r="E3" s="169"/>
      <c r="F3" s="169"/>
      <c r="G3" s="169"/>
      <c r="H3" s="169"/>
      <c r="I3" s="169"/>
      <c r="J3" s="169"/>
      <c r="K3" s="169"/>
      <c r="L3" s="170"/>
      <c r="M3" s="150" t="s">
        <v>277</v>
      </c>
      <c r="N3" s="153" t="s">
        <v>179</v>
      </c>
    </row>
    <row r="4" spans="1:14" ht="15" customHeight="1">
      <c r="A4" s="154"/>
      <c r="B4" s="166"/>
      <c r="C4" s="171"/>
      <c r="D4" s="160" t="s">
        <v>149</v>
      </c>
      <c r="E4" s="161"/>
      <c r="F4" s="162"/>
      <c r="G4" s="158" t="s">
        <v>150</v>
      </c>
      <c r="H4" s="159"/>
      <c r="I4" s="158" t="s">
        <v>149</v>
      </c>
      <c r="J4" s="159"/>
      <c r="K4" s="158" t="s">
        <v>150</v>
      </c>
      <c r="L4" s="159"/>
      <c r="M4" s="151"/>
      <c r="N4" s="154"/>
    </row>
    <row r="5" spans="1:14" ht="27.75" customHeight="1">
      <c r="A5" s="155"/>
      <c r="B5" s="166"/>
      <c r="C5" s="171"/>
      <c r="D5" s="89" t="s">
        <v>76</v>
      </c>
      <c r="E5" s="89" t="s">
        <v>122</v>
      </c>
      <c r="F5" s="89" t="s">
        <v>123</v>
      </c>
      <c r="G5" s="89" t="s">
        <v>153</v>
      </c>
      <c r="H5" s="89" t="s">
        <v>123</v>
      </c>
      <c r="I5" s="89" t="s">
        <v>119</v>
      </c>
      <c r="J5" s="89" t="s">
        <v>81</v>
      </c>
      <c r="K5" s="89" t="s">
        <v>119</v>
      </c>
      <c r="L5" s="89" t="s">
        <v>81</v>
      </c>
      <c r="M5" s="152"/>
      <c r="N5" s="155"/>
    </row>
    <row r="6" spans="1:14" ht="18" customHeight="1">
      <c r="A6" s="73"/>
      <c r="B6" s="72" t="s">
        <v>22</v>
      </c>
      <c r="C6" s="73">
        <f>C7+C8</f>
        <v>61873.95879999999</v>
      </c>
      <c r="D6" s="73">
        <f aca="true" t="shared" si="0" ref="D6:L6">D7+D8</f>
        <v>53461</v>
      </c>
      <c r="E6" s="73">
        <f t="shared" si="0"/>
        <v>-4800</v>
      </c>
      <c r="F6" s="73">
        <f t="shared" si="0"/>
        <v>-546</v>
      </c>
      <c r="G6" s="73">
        <f t="shared" si="0"/>
        <v>13660.731999999989</v>
      </c>
      <c r="H6" s="73">
        <f t="shared" si="0"/>
        <v>-1501.773199999999</v>
      </c>
      <c r="I6" s="73">
        <f t="shared" si="0"/>
        <v>1480</v>
      </c>
      <c r="J6" s="73">
        <f t="shared" si="0"/>
        <v>0</v>
      </c>
      <c r="K6" s="73">
        <f t="shared" si="0"/>
        <v>580</v>
      </c>
      <c r="L6" s="73">
        <f t="shared" si="0"/>
        <v>1500</v>
      </c>
      <c r="M6" s="73">
        <f>M7+M8-0.5</f>
        <v>4124.430586666667</v>
      </c>
      <c r="N6" s="73"/>
    </row>
    <row r="7" spans="1:14" ht="18" customHeight="1">
      <c r="A7" s="41">
        <v>1</v>
      </c>
      <c r="B7" s="74" t="s">
        <v>166</v>
      </c>
      <c r="C7" s="39">
        <f>SUM(D7:L7)</f>
        <v>61773.95879999999</v>
      </c>
      <c r="D7" s="42">
        <v>53461</v>
      </c>
      <c r="E7" s="42">
        <v>-4800</v>
      </c>
      <c r="F7" s="42">
        <v>-546</v>
      </c>
      <c r="G7" s="42">
        <v>13660.731999999989</v>
      </c>
      <c r="H7" s="42">
        <v>-1501.773199999999</v>
      </c>
      <c r="I7" s="42"/>
      <c r="J7" s="42"/>
      <c r="K7" s="42"/>
      <c r="L7" s="42">
        <v>1500</v>
      </c>
      <c r="M7" s="39">
        <f>C7/12*8*0.1</f>
        <v>4118.26392</v>
      </c>
      <c r="N7" s="39"/>
    </row>
    <row r="8" spans="1:14" ht="18" customHeight="1">
      <c r="A8" s="41">
        <v>2</v>
      </c>
      <c r="B8" s="75" t="s">
        <v>30</v>
      </c>
      <c r="C8" s="39">
        <f>SUM(D8:L8)-1960</f>
        <v>100</v>
      </c>
      <c r="D8" s="76"/>
      <c r="E8" s="42">
        <v>0</v>
      </c>
      <c r="F8" s="42">
        <v>0</v>
      </c>
      <c r="G8" s="76"/>
      <c r="H8" s="76"/>
      <c r="I8" s="76">
        <v>1480</v>
      </c>
      <c r="J8" s="76"/>
      <c r="K8" s="76">
        <v>580</v>
      </c>
      <c r="L8" s="76"/>
      <c r="M8" s="39">
        <f>C8/12*8*0.1</f>
        <v>6.666666666666668</v>
      </c>
      <c r="N8" s="42" t="s">
        <v>213</v>
      </c>
    </row>
    <row r="9" spans="1:14" ht="15.75" customHeight="1">
      <c r="A9" s="63"/>
      <c r="B9" s="60"/>
      <c r="C9" s="77"/>
      <c r="D9" s="78"/>
      <c r="E9" s="78"/>
      <c r="F9" s="78"/>
      <c r="G9" s="78"/>
      <c r="H9" s="78"/>
      <c r="I9" s="78"/>
      <c r="J9" s="78"/>
      <c r="K9" s="78"/>
      <c r="L9" s="78"/>
      <c r="M9" s="63"/>
      <c r="N9" s="63"/>
    </row>
    <row r="10" spans="2:13" ht="13.5">
      <c r="B10" s="79"/>
      <c r="C10" s="37"/>
      <c r="D10" s="37"/>
      <c r="E10" s="67"/>
      <c r="F10" s="67"/>
      <c r="M10" s="79"/>
    </row>
    <row r="11" ht="13.5">
      <c r="C11" s="44"/>
    </row>
    <row r="12" ht="13.5">
      <c r="C12" s="44"/>
    </row>
    <row r="13" spans="3:13" ht="13.5">
      <c r="C13" s="44"/>
      <c r="M13" s="44"/>
    </row>
    <row r="14" ht="13.5">
      <c r="C14" s="44"/>
    </row>
  </sheetData>
  <sheetProtection/>
  <mergeCells count="11">
    <mergeCell ref="I4:J4"/>
    <mergeCell ref="K4:L4"/>
    <mergeCell ref="N3:N5"/>
    <mergeCell ref="A3:A5"/>
    <mergeCell ref="A1:N1"/>
    <mergeCell ref="D3:L3"/>
    <mergeCell ref="B3:B5"/>
    <mergeCell ref="M3:M5"/>
    <mergeCell ref="C3:C5"/>
    <mergeCell ref="G4:H4"/>
    <mergeCell ref="D4:F4"/>
  </mergeCells>
  <printOptions/>
  <pageMargins left="0.7" right="0.5" top="0.7" bottom="0.5" header="0.25" footer="0.2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32"/>
  <sheetViews>
    <sheetView zoomScalePageLayoutView="0" workbookViewId="0" topLeftCell="A1">
      <selection activeCell="H4" sqref="H4:H5"/>
    </sheetView>
  </sheetViews>
  <sheetFormatPr defaultColWidth="9.09765625" defaultRowHeight="14.25"/>
  <cols>
    <col min="1" max="1" width="3.8984375" style="54" customWidth="1"/>
    <col min="2" max="2" width="38.296875" style="79" customWidth="1"/>
    <col min="3" max="3" width="14.09765625" style="79" hidden="1" customWidth="1"/>
    <col min="4" max="4" width="13.09765625" style="54" hidden="1" customWidth="1"/>
    <col min="5" max="5" width="10" style="54" hidden="1" customWidth="1"/>
    <col min="6" max="6" width="9.296875" style="54" hidden="1" customWidth="1"/>
    <col min="7" max="7" width="10.3984375" style="54" hidden="1" customWidth="1"/>
    <col min="8" max="8" width="14.296875" style="54" customWidth="1"/>
    <col min="9" max="9" width="42.3984375" style="80" customWidth="1"/>
    <col min="10" max="16384" width="9.09765625" style="54" customWidth="1"/>
  </cols>
  <sheetData>
    <row r="1" spans="1:9" ht="29.25" customHeight="1">
      <c r="A1" s="146" t="s">
        <v>269</v>
      </c>
      <c r="B1" s="147"/>
      <c r="C1" s="147"/>
      <c r="D1" s="147"/>
      <c r="E1" s="147"/>
      <c r="F1" s="147"/>
      <c r="G1" s="147"/>
      <c r="H1" s="147"/>
      <c r="I1" s="147"/>
    </row>
    <row r="2" spans="1:8" ht="17.25" customHeight="1">
      <c r="A2" s="83"/>
      <c r="B2" s="84"/>
      <c r="C2" s="84"/>
      <c r="E2" s="84"/>
      <c r="F2" s="85"/>
      <c r="H2" s="84"/>
    </row>
    <row r="3" spans="1:9" s="80" customFormat="1" ht="17.25" customHeight="1">
      <c r="A3" s="86"/>
      <c r="B3" s="86"/>
      <c r="C3" s="86"/>
      <c r="D3" s="86"/>
      <c r="E3" s="86"/>
      <c r="F3" s="87"/>
      <c r="G3" s="52" t="s">
        <v>29</v>
      </c>
      <c r="H3" s="86"/>
      <c r="I3" s="50" t="s">
        <v>29</v>
      </c>
    </row>
    <row r="4" spans="1:9" ht="15.75" customHeight="1">
      <c r="A4" s="166" t="s">
        <v>20</v>
      </c>
      <c r="B4" s="166" t="s">
        <v>21</v>
      </c>
      <c r="C4" s="175" t="s">
        <v>188</v>
      </c>
      <c r="D4" s="175" t="s">
        <v>14</v>
      </c>
      <c r="E4" s="173" t="s">
        <v>5</v>
      </c>
      <c r="F4" s="168" t="s">
        <v>4</v>
      </c>
      <c r="G4" s="170"/>
      <c r="H4" s="172" t="s">
        <v>277</v>
      </c>
      <c r="I4" s="172" t="s">
        <v>179</v>
      </c>
    </row>
    <row r="5" spans="1:9" ht="48" customHeight="1">
      <c r="A5" s="167"/>
      <c r="B5" s="167"/>
      <c r="C5" s="175"/>
      <c r="D5" s="175"/>
      <c r="E5" s="174"/>
      <c r="F5" s="89" t="s">
        <v>124</v>
      </c>
      <c r="G5" s="88" t="s">
        <v>6</v>
      </c>
      <c r="H5" s="172"/>
      <c r="I5" s="172"/>
    </row>
    <row r="6" spans="1:9" s="67" customFormat="1" ht="21.75" customHeight="1">
      <c r="A6" s="72"/>
      <c r="B6" s="72" t="s">
        <v>22</v>
      </c>
      <c r="C6" s="90">
        <f>SUM(C7:C24)-C12-C15</f>
        <v>39128.39019</v>
      </c>
      <c r="D6" s="90">
        <f>SUM(D7:D25)-D12-D15</f>
        <v>124665.18050999999</v>
      </c>
      <c r="E6" s="90">
        <f>SUM(E7:E25)-E12-E15</f>
        <v>85889.12</v>
      </c>
      <c r="F6" s="90">
        <f>SUM(F7:F25)-F12-F15</f>
        <v>23616.120000000003</v>
      </c>
      <c r="G6" s="90">
        <f>SUM(G7:G25)-G12-G15</f>
        <v>62273</v>
      </c>
      <c r="H6" s="90">
        <f>SUM(H7:H24)-H12-H15</f>
        <v>2608.5593460000005</v>
      </c>
      <c r="I6" s="90"/>
    </row>
    <row r="7" spans="1:9" s="67" customFormat="1" ht="18" customHeight="1">
      <c r="A7" s="41">
        <v>1</v>
      </c>
      <c r="B7" s="39" t="s">
        <v>32</v>
      </c>
      <c r="C7" s="39">
        <f>D7-E7</f>
        <v>10658.911</v>
      </c>
      <c r="D7" s="39">
        <v>31045.611</v>
      </c>
      <c r="E7" s="39">
        <f>F7+G7</f>
        <v>20386.7</v>
      </c>
      <c r="F7" s="42">
        <v>3882.7</v>
      </c>
      <c r="G7" s="42">
        <v>16504</v>
      </c>
      <c r="H7" s="39">
        <f>C7/12*8*0.1</f>
        <v>710.5940666666667</v>
      </c>
      <c r="I7" s="39"/>
    </row>
    <row r="8" spans="1:11" s="67" customFormat="1" ht="18" customHeight="1">
      <c r="A8" s="41">
        <v>2</v>
      </c>
      <c r="B8" s="39" t="s">
        <v>28</v>
      </c>
      <c r="C8" s="39">
        <f aca="true" t="shared" si="0" ref="C8:C25">D8-E8</f>
        <v>6386.006359999999</v>
      </c>
      <c r="D8" s="39">
        <v>18259.20636</v>
      </c>
      <c r="E8" s="39">
        <f aca="true" t="shared" si="1" ref="E8:E25">F8+G8</f>
        <v>11873.2</v>
      </c>
      <c r="F8" s="42">
        <v>2189.2</v>
      </c>
      <c r="G8" s="42">
        <v>9684</v>
      </c>
      <c r="H8" s="39">
        <f aca="true" t="shared" si="2" ref="H8:H25">C8/12*8*0.1</f>
        <v>425.73375733333336</v>
      </c>
      <c r="I8" s="39"/>
      <c r="J8" s="37"/>
      <c r="K8" s="37"/>
    </row>
    <row r="9" spans="1:9" s="67" customFormat="1" ht="18" customHeight="1">
      <c r="A9" s="41">
        <v>3</v>
      </c>
      <c r="B9" s="39" t="s">
        <v>132</v>
      </c>
      <c r="C9" s="39">
        <v>0</v>
      </c>
      <c r="D9" s="39">
        <v>14679.970319999999</v>
      </c>
      <c r="E9" s="39">
        <f t="shared" si="1"/>
        <v>15582.3</v>
      </c>
      <c r="F9" s="42">
        <v>1866.3</v>
      </c>
      <c r="G9" s="42">
        <f>13716</f>
        <v>13716</v>
      </c>
      <c r="H9" s="39">
        <f t="shared" si="2"/>
        <v>0</v>
      </c>
      <c r="I9" s="39"/>
    </row>
    <row r="10" spans="1:9" s="67" customFormat="1" ht="18" customHeight="1">
      <c r="A10" s="41">
        <v>5</v>
      </c>
      <c r="B10" s="91" t="s">
        <v>117</v>
      </c>
      <c r="C10" s="39">
        <f t="shared" si="0"/>
        <v>4817.65524</v>
      </c>
      <c r="D10" s="40">
        <v>11839.65524</v>
      </c>
      <c r="E10" s="39">
        <f t="shared" si="1"/>
        <v>7022</v>
      </c>
      <c r="F10" s="43">
        <v>2935</v>
      </c>
      <c r="G10" s="43">
        <v>4087</v>
      </c>
      <c r="H10" s="39">
        <f t="shared" si="2"/>
        <v>321.17701600000004</v>
      </c>
      <c r="I10" s="39"/>
    </row>
    <row r="11" spans="1:9" s="67" customFormat="1" ht="18" customHeight="1">
      <c r="A11" s="41">
        <v>6</v>
      </c>
      <c r="B11" s="92" t="s">
        <v>116</v>
      </c>
      <c r="C11" s="39">
        <f t="shared" si="0"/>
        <v>3162.8415699999987</v>
      </c>
      <c r="D11" s="40">
        <v>9626.841569999999</v>
      </c>
      <c r="E11" s="39">
        <f t="shared" si="1"/>
        <v>6464</v>
      </c>
      <c r="F11" s="43">
        <v>0</v>
      </c>
      <c r="G11" s="43">
        <v>6464</v>
      </c>
      <c r="H11" s="39">
        <f t="shared" si="2"/>
        <v>210.8561046666666</v>
      </c>
      <c r="I11" s="39"/>
    </row>
    <row r="12" spans="1:9" s="67" customFormat="1" ht="18" customHeight="1">
      <c r="A12" s="68">
        <v>7</v>
      </c>
      <c r="B12" s="93" t="s">
        <v>105</v>
      </c>
      <c r="C12" s="36">
        <f aca="true" t="shared" si="3" ref="C12:H12">C13+C14</f>
        <v>5366.2504199999985</v>
      </c>
      <c r="D12" s="36">
        <f t="shared" si="3"/>
        <v>15754.170419999999</v>
      </c>
      <c r="E12" s="36">
        <f t="shared" si="3"/>
        <v>10387.92</v>
      </c>
      <c r="F12" s="94">
        <f t="shared" si="3"/>
        <v>7178.92</v>
      </c>
      <c r="G12" s="94">
        <f t="shared" si="3"/>
        <v>3209</v>
      </c>
      <c r="H12" s="36">
        <f t="shared" si="3"/>
        <v>357.75002799999993</v>
      </c>
      <c r="I12" s="36"/>
    </row>
    <row r="13" spans="1:9" ht="18" customHeight="1">
      <c r="A13" s="41"/>
      <c r="B13" s="57" t="s">
        <v>13</v>
      </c>
      <c r="C13" s="39">
        <f t="shared" si="0"/>
        <v>3769.239819999999</v>
      </c>
      <c r="D13" s="40">
        <v>6189.159819999999</v>
      </c>
      <c r="E13" s="39">
        <f t="shared" si="1"/>
        <v>2419.92</v>
      </c>
      <c r="F13" s="43">
        <v>868.92</v>
      </c>
      <c r="G13" s="43">
        <v>1551</v>
      </c>
      <c r="H13" s="39">
        <f t="shared" si="2"/>
        <v>251.2826546666666</v>
      </c>
      <c r="I13" s="39"/>
    </row>
    <row r="14" spans="1:9" ht="18" customHeight="1">
      <c r="A14" s="41"/>
      <c r="B14" s="58" t="s">
        <v>12</v>
      </c>
      <c r="C14" s="39">
        <f t="shared" si="0"/>
        <v>1597.0105999999996</v>
      </c>
      <c r="D14" s="40">
        <v>9565.0106</v>
      </c>
      <c r="E14" s="39">
        <f t="shared" si="1"/>
        <v>7968</v>
      </c>
      <c r="F14" s="43">
        <v>6310</v>
      </c>
      <c r="G14" s="43">
        <v>1658</v>
      </c>
      <c r="H14" s="39">
        <f t="shared" si="2"/>
        <v>106.46737333333331</v>
      </c>
      <c r="I14" s="39"/>
    </row>
    <row r="15" spans="1:9" s="67" customFormat="1" ht="18" customHeight="1">
      <c r="A15" s="41">
        <v>8</v>
      </c>
      <c r="B15" s="91" t="s">
        <v>33</v>
      </c>
      <c r="C15" s="36">
        <f aca="true" t="shared" si="4" ref="C15:H15">C16+C17+C18+C19</f>
        <v>5993.28152</v>
      </c>
      <c r="D15" s="36">
        <f t="shared" si="4"/>
        <v>18344.28152</v>
      </c>
      <c r="E15" s="36">
        <f t="shared" si="4"/>
        <v>12351</v>
      </c>
      <c r="F15" s="36">
        <f t="shared" si="4"/>
        <v>5564</v>
      </c>
      <c r="G15" s="36">
        <f t="shared" si="4"/>
        <v>6787</v>
      </c>
      <c r="H15" s="36">
        <f t="shared" si="4"/>
        <v>399.5521013333334</v>
      </c>
      <c r="I15" s="36"/>
    </row>
    <row r="16" spans="1:15" s="67" customFormat="1" ht="18" customHeight="1">
      <c r="A16" s="41"/>
      <c r="B16" s="57" t="s">
        <v>11</v>
      </c>
      <c r="C16" s="39">
        <f t="shared" si="0"/>
        <v>1800.7350399999996</v>
      </c>
      <c r="D16" s="40">
        <v>4603.73504</v>
      </c>
      <c r="E16" s="39">
        <f t="shared" si="1"/>
        <v>2803</v>
      </c>
      <c r="F16" s="43">
        <v>994</v>
      </c>
      <c r="G16" s="43">
        <v>1809</v>
      </c>
      <c r="H16" s="39">
        <f t="shared" si="2"/>
        <v>120.04900266666664</v>
      </c>
      <c r="I16" s="39"/>
      <c r="O16" s="37"/>
    </row>
    <row r="17" spans="1:15" s="67" customFormat="1" ht="18" customHeight="1">
      <c r="A17" s="41"/>
      <c r="B17" s="57" t="s">
        <v>10</v>
      </c>
      <c r="C17" s="39">
        <f t="shared" si="0"/>
        <v>2116.35996</v>
      </c>
      <c r="D17" s="40">
        <v>6141.35996</v>
      </c>
      <c r="E17" s="39">
        <f t="shared" si="1"/>
        <v>4025</v>
      </c>
      <c r="F17" s="43">
        <v>1570</v>
      </c>
      <c r="G17" s="43">
        <v>2455</v>
      </c>
      <c r="H17" s="39">
        <f t="shared" si="2"/>
        <v>141.090664</v>
      </c>
      <c r="I17" s="39"/>
      <c r="O17" s="37"/>
    </row>
    <row r="18" spans="1:15" s="67" customFormat="1" ht="18" customHeight="1">
      <c r="A18" s="38"/>
      <c r="B18" s="57" t="s">
        <v>9</v>
      </c>
      <c r="C18" s="39">
        <f t="shared" si="0"/>
        <v>1976.1865200000002</v>
      </c>
      <c r="D18" s="40">
        <v>7499.18652</v>
      </c>
      <c r="E18" s="39">
        <f t="shared" si="1"/>
        <v>5523</v>
      </c>
      <c r="F18" s="43">
        <v>3000</v>
      </c>
      <c r="G18" s="43">
        <v>2523</v>
      </c>
      <c r="H18" s="39">
        <f t="shared" si="2"/>
        <v>131.74576800000003</v>
      </c>
      <c r="I18" s="39"/>
      <c r="O18" s="37"/>
    </row>
    <row r="19" spans="1:9" s="67" customFormat="1" ht="18" customHeight="1">
      <c r="A19" s="38"/>
      <c r="B19" s="42" t="s">
        <v>170</v>
      </c>
      <c r="C19" s="39">
        <f t="shared" si="0"/>
        <v>100</v>
      </c>
      <c r="D19" s="40">
        <v>100</v>
      </c>
      <c r="E19" s="39">
        <f t="shared" si="1"/>
        <v>0</v>
      </c>
      <c r="F19" s="43"/>
      <c r="G19" s="43"/>
      <c r="H19" s="39">
        <f t="shared" si="2"/>
        <v>6.666666666666668</v>
      </c>
      <c r="I19" s="39"/>
    </row>
    <row r="20" spans="1:9" s="67" customFormat="1" ht="18" customHeight="1">
      <c r="A20" s="41">
        <v>9</v>
      </c>
      <c r="B20" s="91" t="s">
        <v>8</v>
      </c>
      <c r="C20" s="39">
        <f t="shared" si="0"/>
        <v>777.8981199999998</v>
      </c>
      <c r="D20" s="40">
        <v>1169.8981199999998</v>
      </c>
      <c r="E20" s="39">
        <f t="shared" si="1"/>
        <v>392</v>
      </c>
      <c r="F20" s="43"/>
      <c r="G20" s="43">
        <v>392</v>
      </c>
      <c r="H20" s="39">
        <f t="shared" si="2"/>
        <v>51.859874666666656</v>
      </c>
      <c r="I20" s="39"/>
    </row>
    <row r="21" spans="1:9" s="67" customFormat="1" ht="18" customHeight="1">
      <c r="A21" s="41">
        <v>10</v>
      </c>
      <c r="B21" s="91" t="s">
        <v>41</v>
      </c>
      <c r="C21" s="39">
        <f t="shared" si="0"/>
        <v>250.96795999999995</v>
      </c>
      <c r="D21" s="40">
        <v>654.96796</v>
      </c>
      <c r="E21" s="39">
        <f t="shared" si="1"/>
        <v>404</v>
      </c>
      <c r="F21" s="43"/>
      <c r="G21" s="43">
        <v>404</v>
      </c>
      <c r="H21" s="39">
        <f t="shared" si="2"/>
        <v>16.73119733333333</v>
      </c>
      <c r="I21" s="39"/>
    </row>
    <row r="22" spans="1:9" s="67" customFormat="1" ht="18" customHeight="1">
      <c r="A22" s="41">
        <v>11</v>
      </c>
      <c r="B22" s="91" t="s">
        <v>95</v>
      </c>
      <c r="C22" s="39">
        <f t="shared" si="0"/>
        <v>200</v>
      </c>
      <c r="D22" s="40">
        <v>200</v>
      </c>
      <c r="E22" s="39">
        <f t="shared" si="1"/>
        <v>0</v>
      </c>
      <c r="F22" s="43"/>
      <c r="G22" s="43"/>
      <c r="H22" s="39">
        <f t="shared" si="2"/>
        <v>13.333333333333336</v>
      </c>
      <c r="I22" s="39"/>
    </row>
    <row r="23" spans="1:9" s="67" customFormat="1" ht="18" customHeight="1">
      <c r="A23" s="95">
        <v>12</v>
      </c>
      <c r="B23" s="96" t="s">
        <v>244</v>
      </c>
      <c r="C23" s="39">
        <f t="shared" si="0"/>
        <v>300</v>
      </c>
      <c r="D23" s="40">
        <v>300</v>
      </c>
      <c r="E23" s="39">
        <f t="shared" si="1"/>
        <v>0</v>
      </c>
      <c r="F23" s="43"/>
      <c r="G23" s="43"/>
      <c r="H23" s="39">
        <f t="shared" si="2"/>
        <v>20</v>
      </c>
      <c r="I23" s="39"/>
    </row>
    <row r="24" spans="1:9" s="97" customFormat="1" ht="18" customHeight="1">
      <c r="A24" s="95">
        <v>13</v>
      </c>
      <c r="B24" s="96" t="s">
        <v>7</v>
      </c>
      <c r="C24" s="39">
        <f t="shared" si="0"/>
        <v>1214.578</v>
      </c>
      <c r="D24" s="40">
        <v>2240.578</v>
      </c>
      <c r="E24" s="39">
        <f t="shared" si="1"/>
        <v>1026</v>
      </c>
      <c r="F24" s="43"/>
      <c r="G24" s="43">
        <v>1026</v>
      </c>
      <c r="H24" s="39">
        <f t="shared" si="2"/>
        <v>80.97186666666667</v>
      </c>
      <c r="I24" s="39"/>
    </row>
    <row r="25" spans="1:9" s="136" customFormat="1" ht="18" customHeight="1">
      <c r="A25" s="138">
        <v>14</v>
      </c>
      <c r="B25" s="140" t="s">
        <v>17</v>
      </c>
      <c r="C25" s="39">
        <f t="shared" si="0"/>
        <v>550</v>
      </c>
      <c r="D25" s="43">
        <v>550</v>
      </c>
      <c r="E25" s="42">
        <f t="shared" si="1"/>
        <v>0</v>
      </c>
      <c r="F25" s="139"/>
      <c r="G25" s="139"/>
      <c r="H25" s="42">
        <f t="shared" si="2"/>
        <v>36.66666666666667</v>
      </c>
      <c r="I25" s="42"/>
    </row>
    <row r="26" spans="1:9" ht="16.5" customHeight="1">
      <c r="A26" s="78"/>
      <c r="B26" s="60"/>
      <c r="C26" s="60"/>
      <c r="D26" s="78"/>
      <c r="E26" s="78"/>
      <c r="F26" s="78"/>
      <c r="G26" s="78"/>
      <c r="H26" s="77"/>
      <c r="I26" s="77"/>
    </row>
    <row r="27" ht="17.25" customHeight="1">
      <c r="H27" s="44"/>
    </row>
    <row r="28" ht="13.5">
      <c r="H28" s="44"/>
    </row>
    <row r="29" ht="13.5">
      <c r="H29" s="44"/>
    </row>
    <row r="30" spans="4:8" ht="13.5">
      <c r="D30" s="98"/>
      <c r="H30" s="44"/>
    </row>
    <row r="31" ht="13.5">
      <c r="H31" s="44"/>
    </row>
    <row r="32" ht="13.5">
      <c r="H32" s="44"/>
    </row>
    <row r="33" ht="13.5">
      <c r="H33" s="44"/>
    </row>
    <row r="34" ht="13.5">
      <c r="H34" s="44"/>
    </row>
    <row r="35" ht="13.5">
      <c r="H35" s="44"/>
    </row>
    <row r="36" ht="13.5">
      <c r="H36" s="44"/>
    </row>
    <row r="37" ht="13.5">
      <c r="H37" s="44"/>
    </row>
    <row r="38" ht="13.5">
      <c r="H38" s="44"/>
    </row>
    <row r="39" ht="13.5">
      <c r="H39" s="44"/>
    </row>
    <row r="40" ht="13.5">
      <c r="H40" s="44"/>
    </row>
    <row r="41" ht="13.5">
      <c r="H41" s="44"/>
    </row>
    <row r="42" ht="13.5">
      <c r="H42" s="44"/>
    </row>
    <row r="43" ht="13.5">
      <c r="H43" s="44"/>
    </row>
    <row r="44" ht="13.5">
      <c r="H44" s="44"/>
    </row>
    <row r="45" ht="13.5">
      <c r="H45" s="44"/>
    </row>
    <row r="46" ht="13.5">
      <c r="H46" s="44"/>
    </row>
    <row r="47" ht="13.5">
      <c r="H47" s="44"/>
    </row>
    <row r="48" ht="13.5">
      <c r="H48" s="44"/>
    </row>
    <row r="49" ht="13.5">
      <c r="H49" s="44"/>
    </row>
    <row r="50" ht="13.5">
      <c r="H50" s="44"/>
    </row>
    <row r="51" ht="13.5">
      <c r="H51" s="44"/>
    </row>
    <row r="52" ht="13.5">
      <c r="H52" s="44"/>
    </row>
    <row r="53" ht="13.5">
      <c r="H53" s="44"/>
    </row>
    <row r="54" ht="13.5">
      <c r="H54" s="44"/>
    </row>
    <row r="55" ht="13.5">
      <c r="H55" s="44"/>
    </row>
    <row r="56" ht="13.5">
      <c r="H56" s="44"/>
    </row>
    <row r="57" ht="13.5">
      <c r="H57" s="44"/>
    </row>
    <row r="58" ht="13.5">
      <c r="H58" s="44"/>
    </row>
    <row r="59" ht="13.5">
      <c r="H59" s="44"/>
    </row>
    <row r="60" ht="13.5">
      <c r="H60" s="44"/>
    </row>
    <row r="61" ht="13.5">
      <c r="H61" s="44"/>
    </row>
    <row r="62" ht="13.5">
      <c r="H62" s="44"/>
    </row>
    <row r="63" ht="13.5">
      <c r="H63" s="44"/>
    </row>
    <row r="64" ht="13.5">
      <c r="H64" s="44"/>
    </row>
    <row r="65" ht="13.5">
      <c r="H65" s="44"/>
    </row>
    <row r="66" ht="13.5">
      <c r="H66" s="44"/>
    </row>
    <row r="67" ht="13.5">
      <c r="H67" s="44"/>
    </row>
    <row r="68" ht="13.5">
      <c r="H68" s="44"/>
    </row>
    <row r="69" ht="13.5">
      <c r="H69" s="44"/>
    </row>
    <row r="70" ht="13.5">
      <c r="H70" s="44"/>
    </row>
    <row r="71" ht="13.5">
      <c r="H71" s="44"/>
    </row>
    <row r="72" ht="13.5">
      <c r="H72" s="44"/>
    </row>
    <row r="73" ht="13.5">
      <c r="H73" s="44"/>
    </row>
    <row r="74" ht="13.5">
      <c r="H74" s="44"/>
    </row>
    <row r="75" ht="13.5">
      <c r="H75" s="44"/>
    </row>
    <row r="76" ht="13.5">
      <c r="H76" s="44"/>
    </row>
    <row r="77" ht="13.5">
      <c r="H77" s="44"/>
    </row>
    <row r="78" ht="13.5">
      <c r="H78" s="44"/>
    </row>
    <row r="79" ht="13.5">
      <c r="H79" s="44"/>
    </row>
    <row r="80" ht="13.5">
      <c r="H80" s="44"/>
    </row>
    <row r="81" ht="13.5">
      <c r="H81" s="44"/>
    </row>
    <row r="82" ht="13.5">
      <c r="H82" s="44"/>
    </row>
    <row r="83" ht="13.5">
      <c r="H83" s="44"/>
    </row>
    <row r="84" ht="13.5">
      <c r="H84" s="44"/>
    </row>
    <row r="85" ht="13.5">
      <c r="H85" s="44"/>
    </row>
    <row r="86" ht="13.5">
      <c r="H86" s="44"/>
    </row>
    <row r="87" ht="13.5">
      <c r="H87" s="44"/>
    </row>
    <row r="88" ht="13.5">
      <c r="H88" s="44"/>
    </row>
    <row r="89" ht="13.5">
      <c r="H89" s="44"/>
    </row>
    <row r="90" ht="13.5">
      <c r="H90" s="44"/>
    </row>
    <row r="91" ht="13.5">
      <c r="H91" s="44"/>
    </row>
    <row r="92" ht="13.5">
      <c r="H92" s="44"/>
    </row>
    <row r="93" ht="13.5">
      <c r="H93" s="44"/>
    </row>
    <row r="94" ht="13.5">
      <c r="H94" s="44"/>
    </row>
    <row r="95" ht="13.5">
      <c r="H95" s="44"/>
    </row>
    <row r="96" ht="13.5">
      <c r="H96" s="44"/>
    </row>
    <row r="97" ht="13.5">
      <c r="H97" s="44"/>
    </row>
    <row r="98" ht="13.5">
      <c r="H98" s="44"/>
    </row>
    <row r="99" ht="13.5">
      <c r="H99" s="44"/>
    </row>
    <row r="100" ht="13.5">
      <c r="H100" s="44"/>
    </row>
    <row r="101" ht="13.5">
      <c r="H101" s="44"/>
    </row>
    <row r="102" ht="13.5">
      <c r="H102" s="44"/>
    </row>
    <row r="103" ht="13.5">
      <c r="H103" s="44"/>
    </row>
    <row r="104" ht="13.5">
      <c r="H104" s="44"/>
    </row>
    <row r="105" ht="13.5">
      <c r="H105" s="44"/>
    </row>
    <row r="106" ht="13.5">
      <c r="H106" s="44"/>
    </row>
    <row r="107" ht="13.5">
      <c r="H107" s="44"/>
    </row>
    <row r="108" ht="13.5">
      <c r="H108" s="44"/>
    </row>
    <row r="109" ht="13.5">
      <c r="H109" s="44"/>
    </row>
    <row r="110" ht="13.5">
      <c r="H110" s="44"/>
    </row>
    <row r="111" ht="13.5">
      <c r="H111" s="44"/>
    </row>
    <row r="112" ht="13.5">
      <c r="H112" s="44"/>
    </row>
    <row r="113" ht="13.5">
      <c r="H113" s="44"/>
    </row>
    <row r="114" ht="13.5">
      <c r="H114" s="44"/>
    </row>
    <row r="115" ht="13.5">
      <c r="H115" s="44"/>
    </row>
    <row r="116" ht="13.5">
      <c r="H116" s="44"/>
    </row>
    <row r="117" ht="13.5">
      <c r="H117" s="44"/>
    </row>
    <row r="118" ht="13.5">
      <c r="H118" s="44"/>
    </row>
    <row r="119" ht="13.5">
      <c r="H119" s="44"/>
    </row>
    <row r="120" ht="13.5">
      <c r="H120" s="44"/>
    </row>
    <row r="121" ht="13.5">
      <c r="H121" s="44"/>
    </row>
    <row r="122" ht="13.5">
      <c r="H122" s="44"/>
    </row>
    <row r="123" ht="13.5">
      <c r="H123" s="44"/>
    </row>
    <row r="124" ht="13.5">
      <c r="H124" s="44"/>
    </row>
    <row r="125" ht="13.5">
      <c r="H125" s="44"/>
    </row>
    <row r="126" ht="13.5">
      <c r="H126" s="44"/>
    </row>
    <row r="127" ht="13.5">
      <c r="H127" s="44"/>
    </row>
    <row r="128" ht="13.5">
      <c r="H128" s="44"/>
    </row>
    <row r="129" ht="13.5">
      <c r="H129" s="44"/>
    </row>
    <row r="130" ht="13.5">
      <c r="H130" s="44"/>
    </row>
    <row r="131" ht="13.5">
      <c r="H131" s="44"/>
    </row>
    <row r="132" ht="13.5">
      <c r="H132" s="44"/>
    </row>
  </sheetData>
  <sheetProtection/>
  <mergeCells count="9">
    <mergeCell ref="I4:I5"/>
    <mergeCell ref="A1:I1"/>
    <mergeCell ref="F4:G4"/>
    <mergeCell ref="E4:E5"/>
    <mergeCell ref="H4:H5"/>
    <mergeCell ref="D4:D5"/>
    <mergeCell ref="A4:A5"/>
    <mergeCell ref="B4:B5"/>
    <mergeCell ref="C4:C5"/>
  </mergeCells>
  <printOptions/>
  <pageMargins left="0.74" right="0.55" top="0.75" bottom="0.5" header="0.25" footer="0.2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0"/>
  <sheetViews>
    <sheetView zoomScalePageLayoutView="0" workbookViewId="0" topLeftCell="A1">
      <selection activeCell="L12" sqref="L12"/>
    </sheetView>
  </sheetViews>
  <sheetFormatPr defaultColWidth="9.09765625" defaultRowHeight="14.25"/>
  <cols>
    <col min="1" max="1" width="24.3984375" style="5" customWidth="1"/>
    <col min="2" max="2" width="13.09765625" style="5" hidden="1" customWidth="1"/>
    <col min="3" max="3" width="9.296875" style="5" hidden="1" customWidth="1"/>
    <col min="4" max="4" width="9.3984375" style="5" hidden="1" customWidth="1"/>
    <col min="5" max="5" width="12.296875" style="5" hidden="1" customWidth="1"/>
    <col min="6" max="6" width="7.69921875" style="5" hidden="1" customWidth="1"/>
    <col min="7" max="7" width="9.59765625" style="5" hidden="1" customWidth="1"/>
    <col min="8" max="8" width="10.69921875" style="5" hidden="1" customWidth="1"/>
    <col min="9" max="9" width="7.69921875" style="5" hidden="1" customWidth="1"/>
    <col min="10" max="10" width="14" style="5" hidden="1" customWidth="1"/>
    <col min="11" max="11" width="13.09765625" style="5" customWidth="1"/>
    <col min="12" max="12" width="61.09765625" style="5" customWidth="1"/>
    <col min="13" max="16384" width="9.09765625" style="5" customWidth="1"/>
  </cols>
  <sheetData>
    <row r="1" spans="1:12" s="3" customFormat="1" ht="34.5" customHeight="1">
      <c r="A1" s="177" t="s">
        <v>270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</row>
    <row r="2" spans="2:10" s="3" customFormat="1" ht="12.75">
      <c r="B2" s="27"/>
      <c r="C2" s="19"/>
      <c r="E2" s="1"/>
      <c r="F2" s="4"/>
      <c r="I2" s="19"/>
      <c r="J2" s="1"/>
    </row>
    <row r="3" spans="2:12" s="8" customFormat="1" ht="15" customHeight="1">
      <c r="B3" s="27"/>
      <c r="C3" s="25"/>
      <c r="D3" s="25"/>
      <c r="E3" s="27"/>
      <c r="F3" s="27"/>
      <c r="G3" s="25"/>
      <c r="H3" s="25"/>
      <c r="I3" s="25"/>
      <c r="J3" s="28" t="s">
        <v>29</v>
      </c>
      <c r="L3" s="50" t="s">
        <v>29</v>
      </c>
    </row>
    <row r="4" spans="1:12" s="3" customFormat="1" ht="15" customHeight="1">
      <c r="A4" s="176" t="s">
        <v>21</v>
      </c>
      <c r="B4" s="176" t="s">
        <v>188</v>
      </c>
      <c r="C4" s="183" t="s">
        <v>3</v>
      </c>
      <c r="D4" s="184"/>
      <c r="E4" s="184"/>
      <c r="F4" s="184"/>
      <c r="G4" s="184"/>
      <c r="H4" s="184"/>
      <c r="I4" s="184"/>
      <c r="J4" s="185"/>
      <c r="K4" s="150" t="s">
        <v>277</v>
      </c>
      <c r="L4" s="153" t="s">
        <v>179</v>
      </c>
    </row>
    <row r="5" spans="1:12" s="3" customFormat="1" ht="15" customHeight="1">
      <c r="A5" s="176"/>
      <c r="B5" s="176"/>
      <c r="C5" s="179" t="s">
        <v>149</v>
      </c>
      <c r="D5" s="180"/>
      <c r="E5" s="181"/>
      <c r="F5" s="182" t="s">
        <v>150</v>
      </c>
      <c r="G5" s="182"/>
      <c r="H5" s="182"/>
      <c r="I5" s="29">
        <v>2014</v>
      </c>
      <c r="J5" s="29" t="s">
        <v>15</v>
      </c>
      <c r="K5" s="151"/>
      <c r="L5" s="154"/>
    </row>
    <row r="6" spans="1:12" s="3" customFormat="1" ht="40.5" customHeight="1">
      <c r="A6" s="176"/>
      <c r="B6" s="176"/>
      <c r="C6" s="22" t="s">
        <v>114</v>
      </c>
      <c r="D6" s="22" t="s">
        <v>122</v>
      </c>
      <c r="E6" s="22" t="s">
        <v>123</v>
      </c>
      <c r="F6" s="22" t="s">
        <v>1</v>
      </c>
      <c r="G6" s="22" t="s">
        <v>157</v>
      </c>
      <c r="H6" s="22" t="s">
        <v>123</v>
      </c>
      <c r="I6" s="22" t="s">
        <v>81</v>
      </c>
      <c r="J6" s="22" t="s">
        <v>81</v>
      </c>
      <c r="K6" s="152"/>
      <c r="L6" s="155"/>
    </row>
    <row r="7" spans="1:12" s="44" customFormat="1" ht="21" customHeight="1">
      <c r="A7" s="82" t="s">
        <v>97</v>
      </c>
      <c r="B7" s="73">
        <f>SUM(C7:J7)-160</f>
        <v>61749.36454654973</v>
      </c>
      <c r="C7" s="73">
        <v>41200.44949616637</v>
      </c>
      <c r="D7" s="73">
        <v>-4120.0449496166375</v>
      </c>
      <c r="E7" s="73">
        <v>0</v>
      </c>
      <c r="F7" s="73">
        <v>114.4</v>
      </c>
      <c r="G7" s="73">
        <v>640</v>
      </c>
      <c r="H7" s="73">
        <v>-75.44</v>
      </c>
      <c r="I7" s="73">
        <v>21500</v>
      </c>
      <c r="J7" s="73">
        <v>2650</v>
      </c>
      <c r="K7" s="73">
        <f>B7/12*8*0.1</f>
        <v>4116.6243031033155</v>
      </c>
      <c r="L7" s="42" t="s">
        <v>214</v>
      </c>
    </row>
    <row r="8" spans="1:12" s="23" customFormat="1" ht="15.75" customHeight="1">
      <c r="A8" s="24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</row>
    <row r="9" s="6" customFormat="1" ht="15.75" customHeight="1"/>
    <row r="10" s="23" customFormat="1" ht="15.75" customHeight="1">
      <c r="A10" s="54"/>
    </row>
    <row r="11" s="23" customFormat="1" ht="15.75" customHeight="1"/>
    <row r="12" s="23" customFormat="1" ht="15.75" customHeight="1"/>
    <row r="13" s="23" customFormat="1" ht="15.75" customHeight="1"/>
    <row r="14" s="23" customFormat="1" ht="15.75" customHeight="1"/>
    <row r="15" s="23" customFormat="1" ht="15.75" customHeight="1"/>
    <row r="16" s="23" customFormat="1" ht="15.75" customHeight="1"/>
    <row r="17" s="23" customFormat="1" ht="15.75" customHeight="1"/>
    <row r="18" s="23" customFormat="1" ht="15.75" customHeight="1"/>
    <row r="19" s="23" customFormat="1" ht="15.75" customHeight="1"/>
    <row r="20" s="23" customFormat="1" ht="15.75" customHeight="1"/>
    <row r="21" s="23" customFormat="1" ht="15.75" customHeight="1"/>
    <row r="22" s="23" customFormat="1" ht="15.75" customHeight="1"/>
    <row r="23" s="23" customFormat="1" ht="15.75" customHeight="1"/>
    <row r="24" s="23" customFormat="1" ht="15.75" customHeight="1"/>
    <row r="25" s="23" customFormat="1" ht="15.75" customHeight="1"/>
    <row r="26" s="23" customFormat="1" ht="15.75" customHeight="1"/>
    <row r="27" s="23" customFormat="1" ht="15.75" customHeight="1"/>
    <row r="28" s="23" customFormat="1" ht="15.75" customHeight="1"/>
    <row r="29" s="23" customFormat="1" ht="15.75" customHeight="1"/>
    <row r="30" s="23" customFormat="1" ht="15.75" customHeight="1"/>
    <row r="31" s="23" customFormat="1" ht="15.75" customHeight="1"/>
    <row r="32" s="23" customFormat="1" ht="15.75" customHeight="1"/>
    <row r="33" s="23" customFormat="1" ht="15.75" customHeight="1"/>
    <row r="34" s="23" customFormat="1" ht="15.75" customHeight="1"/>
    <row r="35" s="23" customFormat="1" ht="15.75" customHeight="1"/>
    <row r="36" s="23" customFormat="1" ht="15.75" customHeight="1"/>
    <row r="37" s="23" customFormat="1" ht="15.75" customHeight="1"/>
    <row r="38" s="23" customFormat="1" ht="15.75" customHeight="1"/>
    <row r="39" s="23" customFormat="1" ht="15.75" customHeight="1"/>
    <row r="40" s="23" customFormat="1" ht="15.75" customHeight="1"/>
    <row r="41" s="23" customFormat="1" ht="15.75" customHeight="1"/>
    <row r="42" s="23" customFormat="1" ht="15.75" customHeight="1"/>
    <row r="43" s="23" customFormat="1" ht="15.75" customHeight="1"/>
    <row r="44" s="23" customFormat="1" ht="15.75" customHeight="1"/>
    <row r="45" s="23" customFormat="1" ht="15.75" customHeight="1"/>
    <row r="46" s="23" customFormat="1" ht="15.75" customHeight="1"/>
    <row r="47" s="23" customFormat="1" ht="15.75" customHeight="1"/>
    <row r="48" s="23" customFormat="1" ht="15.75" customHeight="1"/>
    <row r="49" s="23" customFormat="1" ht="15.75" customHeight="1"/>
    <row r="50" s="23" customFormat="1" ht="15.75" customHeight="1"/>
    <row r="51" s="23" customFormat="1" ht="15.75" customHeight="1"/>
    <row r="52" s="23" customFormat="1" ht="15.75" customHeight="1"/>
    <row r="53" s="23" customFormat="1" ht="15.75" customHeight="1"/>
    <row r="54" s="23" customFormat="1" ht="15.75" customHeight="1"/>
    <row r="55" s="23" customFormat="1" ht="15.75" customHeight="1"/>
    <row r="56" s="23" customFormat="1" ht="15.75" customHeight="1"/>
    <row r="57" s="23" customFormat="1" ht="15.75" customHeight="1"/>
    <row r="58" s="23" customFormat="1" ht="15.75" customHeight="1"/>
    <row r="59" s="23" customFormat="1" ht="15.75" customHeight="1"/>
    <row r="60" s="23" customFormat="1" ht="15.75" customHeight="1"/>
    <row r="61" s="23" customFormat="1" ht="15.75" customHeight="1"/>
    <row r="62" s="23" customFormat="1" ht="15.75" customHeight="1"/>
    <row r="63" s="23" customFormat="1" ht="15.75" customHeight="1"/>
    <row r="64" s="23" customFormat="1" ht="15.75" customHeight="1"/>
    <row r="65" s="23" customFormat="1" ht="15.75" customHeight="1"/>
    <row r="66" s="23" customFormat="1" ht="15.75" customHeight="1"/>
    <row r="67" s="23" customFormat="1" ht="15.75" customHeight="1"/>
    <row r="68" s="23" customFormat="1" ht="15.75" customHeight="1"/>
    <row r="69" s="23" customFormat="1" ht="15.75" customHeight="1"/>
    <row r="70" s="23" customFormat="1" ht="15.75" customHeight="1"/>
    <row r="71" s="23" customFormat="1" ht="15.75" customHeight="1"/>
  </sheetData>
  <sheetProtection/>
  <mergeCells count="8">
    <mergeCell ref="L4:L6"/>
    <mergeCell ref="A4:A6"/>
    <mergeCell ref="A1:L1"/>
    <mergeCell ref="C5:E5"/>
    <mergeCell ref="F5:H5"/>
    <mergeCell ref="C4:J4"/>
    <mergeCell ref="K4:K6"/>
    <mergeCell ref="B4:B6"/>
  </mergeCells>
  <printOptions/>
  <pageMargins left="0.7" right="0.5" top="0.7" bottom="0.5" header="0.25" footer="0.2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5"/>
  <sheetViews>
    <sheetView zoomScalePageLayoutView="0" workbookViewId="0" topLeftCell="A1">
      <selection activeCell="N4" sqref="N4:N6"/>
    </sheetView>
  </sheetViews>
  <sheetFormatPr defaultColWidth="9.09765625" defaultRowHeight="14.25"/>
  <cols>
    <col min="1" max="1" width="4.3984375" style="80" customWidth="1"/>
    <col min="2" max="2" width="32.09765625" style="54" customWidth="1"/>
    <col min="3" max="3" width="11.3984375" style="44" hidden="1" customWidth="1"/>
    <col min="4" max="4" width="5.3984375" style="44" hidden="1" customWidth="1"/>
    <col min="5" max="5" width="5.8984375" style="44" hidden="1" customWidth="1"/>
    <col min="6" max="6" width="5.69921875" style="44" hidden="1" customWidth="1"/>
    <col min="7" max="8" width="5.3984375" style="44" hidden="1" customWidth="1"/>
    <col min="9" max="9" width="8" style="44" hidden="1" customWidth="1"/>
    <col min="10" max="10" width="5.8984375" style="44" hidden="1" customWidth="1"/>
    <col min="11" max="11" width="8.69921875" style="44" hidden="1" customWidth="1"/>
    <col min="12" max="12" width="3.59765625" style="44" hidden="1" customWidth="1"/>
    <col min="13" max="13" width="3" style="44" hidden="1" customWidth="1"/>
    <col min="14" max="14" width="15" style="80" customWidth="1"/>
    <col min="15" max="15" width="51.69921875" style="80" customWidth="1"/>
    <col min="16" max="16384" width="9.09765625" style="54" customWidth="1"/>
  </cols>
  <sheetData>
    <row r="1" spans="1:15" s="14" customFormat="1" ht="34.5" customHeight="1">
      <c r="A1" s="177" t="s">
        <v>271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</row>
    <row r="2" spans="1:2" ht="13.5">
      <c r="A2" s="67"/>
      <c r="B2" s="85"/>
    </row>
    <row r="3" spans="1:15" s="80" customFormat="1" ht="23.25" customHeight="1">
      <c r="A3" s="85"/>
      <c r="B3" s="85"/>
      <c r="C3" s="30"/>
      <c r="D3" s="51"/>
      <c r="E3" s="51"/>
      <c r="F3" s="30"/>
      <c r="G3" s="30"/>
      <c r="H3" s="51"/>
      <c r="I3" s="51"/>
      <c r="J3" s="30"/>
      <c r="K3" s="52" t="s">
        <v>29</v>
      </c>
      <c r="L3" s="30"/>
      <c r="M3" s="51"/>
      <c r="N3" s="51"/>
      <c r="O3" s="50" t="s">
        <v>29</v>
      </c>
    </row>
    <row r="4" spans="1:15" ht="20.25" customHeight="1">
      <c r="A4" s="166" t="s">
        <v>20</v>
      </c>
      <c r="B4" s="166" t="s">
        <v>21</v>
      </c>
      <c r="C4" s="171" t="s">
        <v>187</v>
      </c>
      <c r="D4" s="160" t="s">
        <v>3</v>
      </c>
      <c r="E4" s="161"/>
      <c r="F4" s="161"/>
      <c r="G4" s="161"/>
      <c r="H4" s="161"/>
      <c r="I4" s="161"/>
      <c r="J4" s="161"/>
      <c r="K4" s="161"/>
      <c r="L4" s="161"/>
      <c r="M4" s="162"/>
      <c r="N4" s="150" t="s">
        <v>277</v>
      </c>
      <c r="O4" s="150" t="s">
        <v>179</v>
      </c>
    </row>
    <row r="5" spans="1:15" ht="24" customHeight="1">
      <c r="A5" s="166"/>
      <c r="B5" s="166"/>
      <c r="C5" s="171"/>
      <c r="D5" s="160" t="s">
        <v>149</v>
      </c>
      <c r="E5" s="161"/>
      <c r="F5" s="162"/>
      <c r="G5" s="163" t="s">
        <v>150</v>
      </c>
      <c r="H5" s="163"/>
      <c r="I5" s="163"/>
      <c r="J5" s="158" t="s">
        <v>149</v>
      </c>
      <c r="K5" s="159"/>
      <c r="L5" s="158" t="s">
        <v>150</v>
      </c>
      <c r="M5" s="159"/>
      <c r="N5" s="151"/>
      <c r="O5" s="151"/>
    </row>
    <row r="6" spans="1:15" ht="18" customHeight="1">
      <c r="A6" s="166"/>
      <c r="B6" s="166"/>
      <c r="C6" s="171"/>
      <c r="D6" s="53" t="s">
        <v>114</v>
      </c>
      <c r="E6" s="53" t="s">
        <v>122</v>
      </c>
      <c r="F6" s="53" t="s">
        <v>172</v>
      </c>
      <c r="G6" s="53" t="s">
        <v>151</v>
      </c>
      <c r="H6" s="53" t="s">
        <v>160</v>
      </c>
      <c r="I6" s="53" t="s">
        <v>123</v>
      </c>
      <c r="J6" s="53" t="s">
        <v>81</v>
      </c>
      <c r="K6" s="53" t="s">
        <v>125</v>
      </c>
      <c r="L6" s="53" t="s">
        <v>81</v>
      </c>
      <c r="M6" s="53" t="s">
        <v>125</v>
      </c>
      <c r="N6" s="152"/>
      <c r="O6" s="152"/>
    </row>
    <row r="7" spans="1:15" ht="18" customHeight="1">
      <c r="A7" s="38"/>
      <c r="B7" s="92" t="s">
        <v>247</v>
      </c>
      <c r="C7" s="99">
        <f aca="true" t="shared" si="0" ref="C7:N7">SUM(C8:C10)</f>
        <v>3977.487</v>
      </c>
      <c r="D7" s="99">
        <f t="shared" si="0"/>
        <v>311.3</v>
      </c>
      <c r="E7" s="99">
        <f t="shared" si="0"/>
        <v>-19</v>
      </c>
      <c r="F7" s="99">
        <f t="shared" si="0"/>
        <v>-2.83</v>
      </c>
      <c r="G7" s="99">
        <f t="shared" si="0"/>
        <v>31.130000000000003</v>
      </c>
      <c r="H7" s="99">
        <f t="shared" si="0"/>
        <v>0</v>
      </c>
      <c r="I7" s="99">
        <f t="shared" si="0"/>
        <v>-3.1130000000000004</v>
      </c>
      <c r="J7" s="99">
        <f t="shared" si="0"/>
        <v>650</v>
      </c>
      <c r="K7" s="99">
        <f t="shared" si="0"/>
        <v>3255</v>
      </c>
      <c r="L7" s="99">
        <f t="shared" si="0"/>
        <v>-450</v>
      </c>
      <c r="M7" s="99">
        <f t="shared" si="0"/>
        <v>205</v>
      </c>
      <c r="N7" s="99">
        <f t="shared" si="0"/>
        <v>265.1658</v>
      </c>
      <c r="O7" s="99"/>
    </row>
    <row r="8" spans="1:15" ht="18" customHeight="1">
      <c r="A8" s="41"/>
      <c r="B8" s="58" t="s">
        <v>245</v>
      </c>
      <c r="C8" s="99">
        <f>SUM(D8:M8)</f>
        <v>178.98800000000003</v>
      </c>
      <c r="D8" s="100">
        <v>154</v>
      </c>
      <c r="E8" s="100">
        <v>-9</v>
      </c>
      <c r="F8" s="100">
        <v>-1.4</v>
      </c>
      <c r="G8" s="100">
        <v>15.4</v>
      </c>
      <c r="H8" s="100">
        <v>23.92</v>
      </c>
      <c r="I8" s="100">
        <v>-3.932000000000001</v>
      </c>
      <c r="J8" s="100">
        <v>0</v>
      </c>
      <c r="K8" s="100">
        <v>0</v>
      </c>
      <c r="L8" s="100"/>
      <c r="M8" s="100"/>
      <c r="N8" s="99">
        <f>C8/12*8*0.1</f>
        <v>11.932533333333335</v>
      </c>
      <c r="O8" s="99"/>
    </row>
    <row r="9" spans="1:15" ht="18" customHeight="1">
      <c r="A9" s="41"/>
      <c r="B9" s="58" t="s">
        <v>246</v>
      </c>
      <c r="C9" s="99">
        <f>SUM(D9:M9)</f>
        <v>138.499</v>
      </c>
      <c r="D9" s="100">
        <v>157.3</v>
      </c>
      <c r="E9" s="100">
        <v>-10</v>
      </c>
      <c r="F9" s="100">
        <v>-1.43</v>
      </c>
      <c r="G9" s="100">
        <v>15.73</v>
      </c>
      <c r="H9" s="100">
        <v>-23.92</v>
      </c>
      <c r="I9" s="100">
        <v>0.8190000000000004</v>
      </c>
      <c r="J9" s="100">
        <v>0</v>
      </c>
      <c r="K9" s="100">
        <v>0</v>
      </c>
      <c r="L9" s="100"/>
      <c r="M9" s="100"/>
      <c r="N9" s="99">
        <f>C9/12*8*0.1</f>
        <v>9.233266666666667</v>
      </c>
      <c r="O9" s="99"/>
    </row>
    <row r="10" spans="1:15" ht="18" customHeight="1">
      <c r="A10" s="41"/>
      <c r="B10" s="57" t="s">
        <v>127</v>
      </c>
      <c r="C10" s="99">
        <f>SUM(D10:M10)</f>
        <v>3660</v>
      </c>
      <c r="D10" s="100">
        <v>0</v>
      </c>
      <c r="E10" s="100">
        <v>0</v>
      </c>
      <c r="F10" s="100">
        <v>0</v>
      </c>
      <c r="G10" s="100"/>
      <c r="H10" s="100"/>
      <c r="I10" s="100"/>
      <c r="J10" s="100">
        <v>650</v>
      </c>
      <c r="K10" s="100">
        <v>3255</v>
      </c>
      <c r="L10" s="100">
        <v>-450</v>
      </c>
      <c r="M10" s="100">
        <v>205</v>
      </c>
      <c r="N10" s="99">
        <f>C10/12*8*0.1</f>
        <v>244</v>
      </c>
      <c r="O10" s="99"/>
    </row>
    <row r="11" spans="1:15" ht="7.5" customHeight="1">
      <c r="A11" s="101"/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</row>
    <row r="12" ht="13.5">
      <c r="N12" s="102"/>
    </row>
    <row r="13" spans="1:14" ht="13.5">
      <c r="A13" s="54"/>
      <c r="N13" s="102"/>
    </row>
    <row r="14" ht="13.5">
      <c r="N14" s="102"/>
    </row>
    <row r="15" ht="13.5">
      <c r="N15" s="102"/>
    </row>
  </sheetData>
  <sheetProtection/>
  <mergeCells count="11">
    <mergeCell ref="G5:I5"/>
    <mergeCell ref="D4:M4"/>
    <mergeCell ref="O4:O6"/>
    <mergeCell ref="A1:O1"/>
    <mergeCell ref="N4:N6"/>
    <mergeCell ref="B4:B6"/>
    <mergeCell ref="A4:A6"/>
    <mergeCell ref="C4:C6"/>
    <mergeCell ref="J5:K5"/>
    <mergeCell ref="D5:F5"/>
    <mergeCell ref="L5:M5"/>
  </mergeCells>
  <printOptions/>
  <pageMargins left="0.7" right="0.5" top="0.7" bottom="0.65" header="0.5" footer="0.5"/>
  <pageSetup fitToHeight="1" fitToWidth="1"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8"/>
  <sheetViews>
    <sheetView zoomScalePageLayoutView="0" workbookViewId="0" topLeftCell="A1">
      <selection activeCell="O14" sqref="O14"/>
    </sheetView>
  </sheetViews>
  <sheetFormatPr defaultColWidth="9.09765625" defaultRowHeight="14.25"/>
  <cols>
    <col min="1" max="1" width="3.8984375" style="54" customWidth="1"/>
    <col min="2" max="2" width="39.3984375" style="54" customWidth="1"/>
    <col min="3" max="3" width="14.69921875" style="54" hidden="1" customWidth="1"/>
    <col min="4" max="4" width="7" style="54" hidden="1" customWidth="1"/>
    <col min="5" max="5" width="6.296875" style="54" hidden="1" customWidth="1"/>
    <col min="6" max="6" width="8.3984375" style="54" hidden="1" customWidth="1"/>
    <col min="7" max="7" width="5.8984375" style="54" hidden="1" customWidth="1"/>
    <col min="8" max="8" width="6.296875" style="54" hidden="1" customWidth="1"/>
    <col min="9" max="9" width="7" style="54" hidden="1" customWidth="1"/>
    <col min="10" max="10" width="5" style="54" hidden="1" customWidth="1"/>
    <col min="11" max="11" width="7.59765625" style="54" hidden="1" customWidth="1"/>
    <col min="12" max="12" width="5.8984375" style="54" hidden="1" customWidth="1"/>
    <col min="13" max="13" width="9.59765625" style="54" hidden="1" customWidth="1"/>
    <col min="14" max="14" width="11.09765625" style="54" customWidth="1"/>
    <col min="15" max="15" width="45.3984375" style="80" customWidth="1"/>
    <col min="16" max="16384" width="9.09765625" style="54" customWidth="1"/>
  </cols>
  <sheetData>
    <row r="1" spans="1:15" ht="31.5" customHeight="1">
      <c r="A1" s="186" t="s">
        <v>272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</row>
    <row r="2" spans="1:15" ht="13.5">
      <c r="A2" s="187" t="s">
        <v>248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</row>
    <row r="3" spans="2:14" ht="13.5"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</row>
    <row r="4" spans="2:15" ht="13.5">
      <c r="B4" s="85"/>
      <c r="C4" s="44"/>
      <c r="D4" s="44"/>
      <c r="E4" s="44"/>
      <c r="F4" s="44"/>
      <c r="G4" s="44"/>
      <c r="H4" s="44"/>
      <c r="I4" s="44"/>
      <c r="J4" s="44"/>
      <c r="K4" s="44"/>
      <c r="L4" s="52" t="s">
        <v>29</v>
      </c>
      <c r="M4" s="44"/>
      <c r="O4" s="50" t="s">
        <v>29</v>
      </c>
    </row>
    <row r="5" spans="1:15" ht="16.5" customHeight="1">
      <c r="A5" s="166" t="s">
        <v>20</v>
      </c>
      <c r="B5" s="166" t="s">
        <v>21</v>
      </c>
      <c r="C5" s="171" t="s">
        <v>187</v>
      </c>
      <c r="D5" s="160" t="s">
        <v>3</v>
      </c>
      <c r="E5" s="161"/>
      <c r="F5" s="161"/>
      <c r="G5" s="161"/>
      <c r="H5" s="161"/>
      <c r="I5" s="161"/>
      <c r="J5" s="161"/>
      <c r="K5" s="161"/>
      <c r="L5" s="161"/>
      <c r="M5" s="162"/>
      <c r="N5" s="150" t="s">
        <v>277</v>
      </c>
      <c r="O5" s="150" t="s">
        <v>179</v>
      </c>
    </row>
    <row r="6" spans="1:15" ht="15.75" customHeight="1">
      <c r="A6" s="166"/>
      <c r="B6" s="166"/>
      <c r="C6" s="171"/>
      <c r="D6" s="160" t="s">
        <v>149</v>
      </c>
      <c r="E6" s="161"/>
      <c r="F6" s="162"/>
      <c r="G6" s="163" t="s">
        <v>150</v>
      </c>
      <c r="H6" s="163"/>
      <c r="I6" s="163"/>
      <c r="J6" s="158" t="s">
        <v>149</v>
      </c>
      <c r="K6" s="159"/>
      <c r="L6" s="158" t="s">
        <v>150</v>
      </c>
      <c r="M6" s="159"/>
      <c r="N6" s="151"/>
      <c r="O6" s="151"/>
    </row>
    <row r="7" spans="1:15" ht="47.25" customHeight="1">
      <c r="A7" s="166"/>
      <c r="B7" s="166"/>
      <c r="C7" s="171"/>
      <c r="D7" s="53" t="s">
        <v>114</v>
      </c>
      <c r="E7" s="53" t="s">
        <v>122</v>
      </c>
      <c r="F7" s="53" t="s">
        <v>123</v>
      </c>
      <c r="G7" s="53" t="s">
        <v>151</v>
      </c>
      <c r="H7" s="53" t="s">
        <v>160</v>
      </c>
      <c r="I7" s="53" t="s">
        <v>123</v>
      </c>
      <c r="J7" s="53" t="s">
        <v>81</v>
      </c>
      <c r="K7" s="53" t="s">
        <v>125</v>
      </c>
      <c r="L7" s="53" t="s">
        <v>81</v>
      </c>
      <c r="M7" s="53" t="s">
        <v>125</v>
      </c>
      <c r="N7" s="152"/>
      <c r="O7" s="152"/>
    </row>
    <row r="8" spans="1:15" s="67" customFormat="1" ht="18" customHeight="1">
      <c r="A8" s="104"/>
      <c r="B8" s="104" t="s">
        <v>180</v>
      </c>
      <c r="C8" s="105">
        <f>C9+C17</f>
        <v>9542.106371710526</v>
      </c>
      <c r="D8" s="105">
        <f aca="true" t="shared" si="0" ref="D8:M8">D9+D17</f>
        <v>1509.1999999999998</v>
      </c>
      <c r="E8" s="105">
        <f t="shared" si="0"/>
        <v>-137.2</v>
      </c>
      <c r="F8" s="105">
        <f t="shared" si="0"/>
        <v>-13.72</v>
      </c>
      <c r="G8" s="105">
        <f t="shared" si="0"/>
        <v>150.92000000000002</v>
      </c>
      <c r="H8" s="105">
        <f t="shared" si="0"/>
        <v>-0.0018092105263161073</v>
      </c>
      <c r="I8" s="105">
        <f t="shared" si="0"/>
        <v>-15.09181907894737</v>
      </c>
      <c r="J8" s="105">
        <f t="shared" si="0"/>
        <v>480</v>
      </c>
      <c r="K8" s="105">
        <f t="shared" si="0"/>
        <v>6470</v>
      </c>
      <c r="L8" s="105">
        <f t="shared" si="0"/>
        <v>1253</v>
      </c>
      <c r="M8" s="105">
        <f t="shared" si="0"/>
        <v>1200</v>
      </c>
      <c r="N8" s="105">
        <f>N9+N17</f>
        <v>636.1404247807018</v>
      </c>
      <c r="O8" s="105"/>
    </row>
    <row r="9" spans="1:15" s="67" customFormat="1" ht="18" customHeight="1">
      <c r="A9" s="104">
        <v>1</v>
      </c>
      <c r="B9" s="104" t="s">
        <v>251</v>
      </c>
      <c r="C9" s="105">
        <f>SUM(C10:C16)</f>
        <v>8747.106371710526</v>
      </c>
      <c r="D9" s="105">
        <f aca="true" t="shared" si="1" ref="D9:N9">SUM(D10:D16)</f>
        <v>1509.1999999999998</v>
      </c>
      <c r="E9" s="105">
        <f t="shared" si="1"/>
        <v>-137.2</v>
      </c>
      <c r="F9" s="105">
        <f t="shared" si="1"/>
        <v>-13.72</v>
      </c>
      <c r="G9" s="105">
        <f t="shared" si="1"/>
        <v>150.92000000000002</v>
      </c>
      <c r="H9" s="105">
        <f t="shared" si="1"/>
        <v>-0.0018092105263161073</v>
      </c>
      <c r="I9" s="105">
        <f t="shared" si="1"/>
        <v>-15.09181907894737</v>
      </c>
      <c r="J9" s="105">
        <f t="shared" si="1"/>
        <v>480</v>
      </c>
      <c r="K9" s="105">
        <f t="shared" si="1"/>
        <v>5520</v>
      </c>
      <c r="L9" s="105">
        <f t="shared" si="1"/>
        <v>1253</v>
      </c>
      <c r="M9" s="105">
        <f t="shared" si="1"/>
        <v>0</v>
      </c>
      <c r="N9" s="105">
        <f t="shared" si="1"/>
        <v>583.1404247807018</v>
      </c>
      <c r="O9" s="105"/>
    </row>
    <row r="10" spans="1:15" ht="18" customHeight="1">
      <c r="A10" s="58"/>
      <c r="B10" s="58" t="s">
        <v>173</v>
      </c>
      <c r="C10" s="43">
        <f>SUM(D10:M10)</f>
        <v>219.8216842105263</v>
      </c>
      <c r="D10" s="43">
        <v>233.2</v>
      </c>
      <c r="E10" s="43">
        <v>-21.2</v>
      </c>
      <c r="F10" s="43">
        <v>-2.12</v>
      </c>
      <c r="G10" s="43">
        <v>23.32</v>
      </c>
      <c r="H10" s="43">
        <v>-12.273684210526316</v>
      </c>
      <c r="I10" s="43">
        <v>-1.1046315789473684</v>
      </c>
      <c r="J10" s="43"/>
      <c r="K10" s="43">
        <v>0</v>
      </c>
      <c r="L10" s="43"/>
      <c r="M10" s="43"/>
      <c r="N10" s="115">
        <f>C10/12*8*0.1</f>
        <v>14.654778947368422</v>
      </c>
      <c r="O10" s="106"/>
    </row>
    <row r="11" spans="1:15" ht="18" customHeight="1">
      <c r="A11" s="58"/>
      <c r="B11" s="58" t="s">
        <v>59</v>
      </c>
      <c r="C11" s="43">
        <f aca="true" t="shared" si="2" ref="C11:C21">SUM(D11:M11)</f>
        <v>363.72600000000006</v>
      </c>
      <c r="D11" s="43">
        <v>367.4</v>
      </c>
      <c r="E11" s="43">
        <v>-33.4</v>
      </c>
      <c r="F11" s="43">
        <v>-3.34</v>
      </c>
      <c r="G11" s="43">
        <v>36.74</v>
      </c>
      <c r="H11" s="43">
        <v>0</v>
      </c>
      <c r="I11" s="43">
        <v>-3.6740000000000004</v>
      </c>
      <c r="J11" s="43"/>
      <c r="K11" s="43">
        <v>0</v>
      </c>
      <c r="L11" s="43"/>
      <c r="M11" s="43"/>
      <c r="N11" s="115">
        <f aca="true" t="shared" si="3" ref="N11:N17">C11/12*8*0.1</f>
        <v>24.248400000000004</v>
      </c>
      <c r="O11" s="106"/>
    </row>
    <row r="12" spans="1:15" ht="18" customHeight="1">
      <c r="A12" s="58"/>
      <c r="B12" s="58" t="s">
        <v>174</v>
      </c>
      <c r="C12" s="43">
        <f t="shared" si="2"/>
        <v>399.81768750000003</v>
      </c>
      <c r="D12" s="43">
        <v>392.7</v>
      </c>
      <c r="E12" s="43">
        <v>-35.7</v>
      </c>
      <c r="F12" s="43">
        <v>-3.57</v>
      </c>
      <c r="G12" s="43">
        <v>39.27</v>
      </c>
      <c r="H12" s="43">
        <v>12.271875</v>
      </c>
      <c r="I12" s="43">
        <v>-5.154187500000001</v>
      </c>
      <c r="J12" s="43"/>
      <c r="K12" s="43">
        <v>0</v>
      </c>
      <c r="L12" s="43"/>
      <c r="M12" s="43"/>
      <c r="N12" s="115">
        <f t="shared" si="3"/>
        <v>26.654512500000006</v>
      </c>
      <c r="O12" s="106"/>
    </row>
    <row r="13" spans="1:15" ht="18" customHeight="1">
      <c r="A13" s="58"/>
      <c r="B13" s="58" t="s">
        <v>175</v>
      </c>
      <c r="C13" s="43">
        <f t="shared" si="2"/>
        <v>218.889</v>
      </c>
      <c r="D13" s="43">
        <v>221.1</v>
      </c>
      <c r="E13" s="43">
        <v>-20.1</v>
      </c>
      <c r="F13" s="43">
        <v>-2.01</v>
      </c>
      <c r="G13" s="43">
        <v>22.11</v>
      </c>
      <c r="H13" s="43">
        <v>0</v>
      </c>
      <c r="I13" s="43">
        <v>-2.211</v>
      </c>
      <c r="J13" s="43"/>
      <c r="K13" s="43">
        <v>0</v>
      </c>
      <c r="L13" s="43"/>
      <c r="M13" s="43"/>
      <c r="N13" s="115">
        <f t="shared" si="3"/>
        <v>14.592600000000003</v>
      </c>
      <c r="O13" s="106"/>
    </row>
    <row r="14" spans="1:15" ht="18" customHeight="1">
      <c r="A14" s="58"/>
      <c r="B14" s="58" t="s">
        <v>176</v>
      </c>
      <c r="C14" s="43">
        <f t="shared" si="2"/>
        <v>230.868</v>
      </c>
      <c r="D14" s="43">
        <v>233.2</v>
      </c>
      <c r="E14" s="43">
        <v>-21.2</v>
      </c>
      <c r="F14" s="43">
        <v>-2.12</v>
      </c>
      <c r="G14" s="43">
        <v>23.32</v>
      </c>
      <c r="H14" s="43">
        <v>0</v>
      </c>
      <c r="I14" s="43">
        <v>-2.3320000000000003</v>
      </c>
      <c r="J14" s="43"/>
      <c r="K14" s="43">
        <v>0</v>
      </c>
      <c r="L14" s="43"/>
      <c r="M14" s="43"/>
      <c r="N14" s="115">
        <f t="shared" si="3"/>
        <v>15.391200000000001</v>
      </c>
      <c r="O14" s="106"/>
    </row>
    <row r="15" spans="1:15" ht="18" customHeight="1">
      <c r="A15" s="58"/>
      <c r="B15" s="58" t="s">
        <v>62</v>
      </c>
      <c r="C15" s="43">
        <f t="shared" si="2"/>
        <v>60.983999999999995</v>
      </c>
      <c r="D15" s="43">
        <v>61.6</v>
      </c>
      <c r="E15" s="43">
        <v>-5.6</v>
      </c>
      <c r="F15" s="43">
        <v>-0.5600000000000008</v>
      </c>
      <c r="G15" s="43">
        <v>6.16</v>
      </c>
      <c r="H15" s="43">
        <v>0</v>
      </c>
      <c r="I15" s="43">
        <v>-0.6160000000000001</v>
      </c>
      <c r="J15" s="43"/>
      <c r="K15" s="43">
        <v>0</v>
      </c>
      <c r="L15" s="43"/>
      <c r="M15" s="43"/>
      <c r="N15" s="115">
        <f t="shared" si="3"/>
        <v>4.0656</v>
      </c>
      <c r="O15" s="106"/>
    </row>
    <row r="16" spans="1:15" s="64" customFormat="1" ht="18" customHeight="1">
      <c r="A16" s="107"/>
      <c r="B16" s="107" t="s">
        <v>75</v>
      </c>
      <c r="C16" s="109">
        <f t="shared" si="2"/>
        <v>7253</v>
      </c>
      <c r="D16" s="108">
        <v>0</v>
      </c>
      <c r="E16" s="108">
        <v>0</v>
      </c>
      <c r="F16" s="108">
        <v>0</v>
      </c>
      <c r="G16" s="109">
        <v>0</v>
      </c>
      <c r="H16" s="43"/>
      <c r="I16" s="109">
        <v>0</v>
      </c>
      <c r="J16" s="108">
        <v>480</v>
      </c>
      <c r="K16" s="108">
        <v>5520</v>
      </c>
      <c r="L16" s="108">
        <v>1253</v>
      </c>
      <c r="M16" s="108"/>
      <c r="N16" s="116">
        <f t="shared" si="3"/>
        <v>483.5333333333333</v>
      </c>
      <c r="O16" s="110"/>
    </row>
    <row r="17" spans="1:16" s="97" customFormat="1" ht="18" customHeight="1">
      <c r="A17" s="117">
        <v>2</v>
      </c>
      <c r="B17" s="96" t="s">
        <v>228</v>
      </c>
      <c r="C17" s="105">
        <f>SUM(D17:M17)-1145-210</f>
        <v>795</v>
      </c>
      <c r="D17" s="111">
        <v>0</v>
      </c>
      <c r="E17" s="111">
        <v>0</v>
      </c>
      <c r="F17" s="111">
        <v>0</v>
      </c>
      <c r="G17" s="109">
        <v>0</v>
      </c>
      <c r="H17" s="43"/>
      <c r="I17" s="109">
        <v>0</v>
      </c>
      <c r="J17" s="111"/>
      <c r="K17" s="111">
        <v>950</v>
      </c>
      <c r="L17" s="111"/>
      <c r="M17" s="111">
        <v>1200</v>
      </c>
      <c r="N17" s="110">
        <f t="shared" si="3"/>
        <v>53</v>
      </c>
      <c r="O17" s="116" t="s">
        <v>215</v>
      </c>
      <c r="P17" s="64"/>
    </row>
    <row r="18" spans="1:16" s="67" customFormat="1" ht="29.25" customHeight="1">
      <c r="A18" s="104"/>
      <c r="B18" s="120" t="s">
        <v>250</v>
      </c>
      <c r="C18" s="105">
        <f>SUM(C19:C21)</f>
        <v>15698.01</v>
      </c>
      <c r="D18" s="105">
        <f aca="true" t="shared" si="4" ref="D18:N18">SUM(D19:D21)</f>
        <v>99</v>
      </c>
      <c r="E18" s="105">
        <f t="shared" si="4"/>
        <v>-9</v>
      </c>
      <c r="F18" s="105">
        <f t="shared" si="4"/>
        <v>-0.9000000000000015</v>
      </c>
      <c r="G18" s="105">
        <f t="shared" si="4"/>
        <v>9.9</v>
      </c>
      <c r="H18" s="105">
        <f t="shared" si="4"/>
        <v>0</v>
      </c>
      <c r="I18" s="105">
        <f t="shared" si="4"/>
        <v>-0.99</v>
      </c>
      <c r="J18" s="105">
        <f t="shared" si="4"/>
        <v>0</v>
      </c>
      <c r="K18" s="105">
        <f t="shared" si="4"/>
        <v>14750</v>
      </c>
      <c r="L18" s="105">
        <f t="shared" si="4"/>
        <v>100</v>
      </c>
      <c r="M18" s="105">
        <f t="shared" si="4"/>
        <v>750</v>
      </c>
      <c r="N18" s="105">
        <f t="shared" si="4"/>
        <v>179.86733333333333</v>
      </c>
      <c r="O18" s="105"/>
      <c r="P18" s="54"/>
    </row>
    <row r="19" spans="1:15" ht="18" customHeight="1">
      <c r="A19" s="58"/>
      <c r="B19" s="58" t="s">
        <v>60</v>
      </c>
      <c r="C19" s="43">
        <f t="shared" si="2"/>
        <v>13000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/>
      <c r="K19" s="43">
        <v>13000</v>
      </c>
      <c r="L19" s="43"/>
      <c r="M19" s="43"/>
      <c r="N19" s="115">
        <v>0</v>
      </c>
      <c r="O19" s="106"/>
    </row>
    <row r="20" spans="1:15" ht="18" customHeight="1">
      <c r="A20" s="58"/>
      <c r="B20" s="58" t="s">
        <v>61</v>
      </c>
      <c r="C20" s="43">
        <f t="shared" si="2"/>
        <v>98.01</v>
      </c>
      <c r="D20" s="43">
        <v>99</v>
      </c>
      <c r="E20" s="43">
        <v>-9</v>
      </c>
      <c r="F20" s="43">
        <v>-0.9000000000000015</v>
      </c>
      <c r="G20" s="43">
        <v>9.9</v>
      </c>
      <c r="H20" s="43">
        <v>0</v>
      </c>
      <c r="I20" s="43">
        <v>-0.99</v>
      </c>
      <c r="J20" s="43"/>
      <c r="K20" s="43">
        <v>0</v>
      </c>
      <c r="L20" s="43"/>
      <c r="M20" s="43"/>
      <c r="N20" s="115">
        <f>C20/12*8*0.1</f>
        <v>6.534000000000001</v>
      </c>
      <c r="O20" s="106"/>
    </row>
    <row r="21" spans="1:15" s="64" customFormat="1" ht="18" customHeight="1">
      <c r="A21" s="107"/>
      <c r="B21" s="107" t="s">
        <v>177</v>
      </c>
      <c r="C21" s="43">
        <f t="shared" si="2"/>
        <v>2600</v>
      </c>
      <c r="D21" s="108"/>
      <c r="E21" s="108"/>
      <c r="F21" s="108"/>
      <c r="G21" s="43"/>
      <c r="H21" s="43"/>
      <c r="I21" s="43"/>
      <c r="J21" s="108"/>
      <c r="K21" s="108">
        <v>1750</v>
      </c>
      <c r="L21" s="108">
        <v>100</v>
      </c>
      <c r="M21" s="108">
        <v>750</v>
      </c>
      <c r="N21" s="115">
        <f>C21/12*8*0.1</f>
        <v>173.33333333333334</v>
      </c>
      <c r="O21" s="106"/>
    </row>
    <row r="22" spans="1:15" s="113" customFormat="1" ht="18" customHeight="1">
      <c r="A22" s="112"/>
      <c r="B22" s="112" t="s">
        <v>249</v>
      </c>
      <c r="C22" s="105">
        <f>SUM(D22:M22)-2750</f>
        <v>2580.7</v>
      </c>
      <c r="D22" s="105">
        <v>2423</v>
      </c>
      <c r="E22" s="105">
        <v>-242.3</v>
      </c>
      <c r="F22" s="105">
        <v>0</v>
      </c>
      <c r="G22" s="105">
        <v>0</v>
      </c>
      <c r="H22" s="105">
        <v>0</v>
      </c>
      <c r="I22" s="105">
        <v>0</v>
      </c>
      <c r="J22" s="105">
        <v>300</v>
      </c>
      <c r="K22" s="105">
        <v>2750</v>
      </c>
      <c r="L22" s="105">
        <v>-300</v>
      </c>
      <c r="M22" s="105">
        <v>400</v>
      </c>
      <c r="N22" s="110">
        <f>C22/12*8*0.1</f>
        <v>172.04666666666665</v>
      </c>
      <c r="O22" s="116" t="s">
        <v>216</v>
      </c>
    </row>
    <row r="23" spans="1:15" ht="7.5" customHeight="1">
      <c r="A23" s="78"/>
      <c r="B23" s="78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114"/>
      <c r="O23" s="114"/>
    </row>
    <row r="25" spans="1:15" s="44" customFormat="1" ht="13.5">
      <c r="A25" s="54"/>
      <c r="D25" s="37"/>
      <c r="O25" s="51"/>
    </row>
    <row r="26" s="44" customFormat="1" ht="13.5">
      <c r="O26" s="51"/>
    </row>
    <row r="27" s="44" customFormat="1" ht="13.5">
      <c r="O27" s="51"/>
    </row>
    <row r="28" s="44" customFormat="1" ht="13.5">
      <c r="O28" s="51"/>
    </row>
  </sheetData>
  <sheetProtection/>
  <mergeCells count="12">
    <mergeCell ref="O5:O7"/>
    <mergeCell ref="A5:A7"/>
    <mergeCell ref="A1:O1"/>
    <mergeCell ref="A2:O2"/>
    <mergeCell ref="C5:C7"/>
    <mergeCell ref="D5:M5"/>
    <mergeCell ref="D6:F6"/>
    <mergeCell ref="L6:M6"/>
    <mergeCell ref="G6:I6"/>
    <mergeCell ref="J6:K6"/>
    <mergeCell ref="B5:B7"/>
    <mergeCell ref="N5:N7"/>
  </mergeCells>
  <printOptions/>
  <pageMargins left="0.7" right="0.5" top="0.7" bottom="0.5" header="0.25" footer="0.2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24"/>
  <sheetViews>
    <sheetView zoomScalePageLayoutView="0" workbookViewId="0" topLeftCell="A1">
      <selection activeCell="O9" sqref="O9"/>
    </sheetView>
  </sheetViews>
  <sheetFormatPr defaultColWidth="9.09765625" defaultRowHeight="14.25"/>
  <cols>
    <col min="1" max="1" width="4.3984375" style="64" customWidth="1"/>
    <col min="2" max="2" width="29.8984375" style="54" customWidth="1"/>
    <col min="3" max="3" width="11.296875" style="54" hidden="1" customWidth="1"/>
    <col min="4" max="4" width="6.69921875" style="54" hidden="1" customWidth="1"/>
    <col min="5" max="5" width="7.296875" style="54" hidden="1" customWidth="1"/>
    <col min="6" max="6" width="6.69921875" style="54" hidden="1" customWidth="1"/>
    <col min="7" max="7" width="6" style="54" hidden="1" customWidth="1"/>
    <col min="8" max="8" width="6.69921875" style="54" hidden="1" customWidth="1"/>
    <col min="9" max="9" width="6.59765625" style="54" hidden="1" customWidth="1"/>
    <col min="10" max="10" width="6.296875" style="54" hidden="1" customWidth="1"/>
    <col min="11" max="11" width="7.09765625" style="54" hidden="1" customWidth="1"/>
    <col min="12" max="13" width="6" style="54" hidden="1" customWidth="1"/>
    <col min="14" max="14" width="11.09765625" style="54" customWidth="1"/>
    <col min="15" max="15" width="57.59765625" style="80" customWidth="1"/>
    <col min="16" max="16" width="9.09765625" style="54" customWidth="1"/>
    <col min="17" max="17" width="9.09765625" style="44" customWidth="1"/>
    <col min="18" max="16384" width="9.09765625" style="54" customWidth="1"/>
  </cols>
  <sheetData>
    <row r="1" spans="1:17" s="121" customFormat="1" ht="33" customHeight="1">
      <c r="A1" s="156" t="s">
        <v>273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Q1" s="137"/>
    </row>
    <row r="2" spans="1:17" s="46" customFormat="1" ht="15" customHeight="1">
      <c r="A2" s="31"/>
      <c r="B2" s="31"/>
      <c r="C2" s="31"/>
      <c r="G2" s="189"/>
      <c r="H2" s="189"/>
      <c r="I2" s="189"/>
      <c r="J2" s="50"/>
      <c r="L2" s="189"/>
      <c r="M2" s="189"/>
      <c r="O2" s="50"/>
      <c r="Q2" s="44"/>
    </row>
    <row r="3" spans="3:15" ht="17.25" customHeight="1">
      <c r="C3" s="30"/>
      <c r="D3" s="44"/>
      <c r="E3" s="44"/>
      <c r="F3" s="44"/>
      <c r="G3" s="188"/>
      <c r="H3" s="188"/>
      <c r="I3" s="188"/>
      <c r="J3" s="51"/>
      <c r="K3" s="44"/>
      <c r="L3" s="190" t="s">
        <v>29</v>
      </c>
      <c r="M3" s="190"/>
      <c r="O3" s="50" t="s">
        <v>29</v>
      </c>
    </row>
    <row r="4" spans="1:15" ht="13.5" customHeight="1">
      <c r="A4" s="164" t="s">
        <v>20</v>
      </c>
      <c r="B4" s="166" t="s">
        <v>21</v>
      </c>
      <c r="C4" s="171" t="s">
        <v>187</v>
      </c>
      <c r="D4" s="160" t="s">
        <v>3</v>
      </c>
      <c r="E4" s="161"/>
      <c r="F4" s="161"/>
      <c r="G4" s="161"/>
      <c r="H4" s="161"/>
      <c r="I4" s="161"/>
      <c r="J4" s="161"/>
      <c r="K4" s="161"/>
      <c r="L4" s="161"/>
      <c r="M4" s="162"/>
      <c r="N4" s="150" t="s">
        <v>277</v>
      </c>
      <c r="O4" s="150" t="s">
        <v>179</v>
      </c>
    </row>
    <row r="5" spans="1:15" ht="14.25" customHeight="1">
      <c r="A5" s="164"/>
      <c r="B5" s="166"/>
      <c r="C5" s="171"/>
      <c r="D5" s="160" t="s">
        <v>149</v>
      </c>
      <c r="E5" s="161"/>
      <c r="F5" s="162"/>
      <c r="G5" s="163" t="s">
        <v>150</v>
      </c>
      <c r="H5" s="163"/>
      <c r="I5" s="163"/>
      <c r="J5" s="158" t="s">
        <v>149</v>
      </c>
      <c r="K5" s="159"/>
      <c r="L5" s="158" t="s">
        <v>150</v>
      </c>
      <c r="M5" s="159"/>
      <c r="N5" s="151"/>
      <c r="O5" s="151"/>
    </row>
    <row r="6" spans="1:15" ht="49.5" customHeight="1">
      <c r="A6" s="165"/>
      <c r="B6" s="167"/>
      <c r="C6" s="171"/>
      <c r="D6" s="53" t="s">
        <v>114</v>
      </c>
      <c r="E6" s="53" t="s">
        <v>122</v>
      </c>
      <c r="F6" s="53" t="s">
        <v>126</v>
      </c>
      <c r="G6" s="53" t="s">
        <v>151</v>
      </c>
      <c r="H6" s="53" t="s">
        <v>154</v>
      </c>
      <c r="I6" s="53" t="s">
        <v>126</v>
      </c>
      <c r="J6" s="53" t="s">
        <v>81</v>
      </c>
      <c r="K6" s="53" t="s">
        <v>125</v>
      </c>
      <c r="L6" s="53" t="s">
        <v>81</v>
      </c>
      <c r="M6" s="53" t="s">
        <v>125</v>
      </c>
      <c r="N6" s="152"/>
      <c r="O6" s="152"/>
    </row>
    <row r="7" spans="1:15" ht="18" customHeight="1">
      <c r="A7" s="34"/>
      <c r="B7" s="34" t="s">
        <v>22</v>
      </c>
      <c r="C7" s="56">
        <f>C8+C21</f>
        <v>11255.4888</v>
      </c>
      <c r="D7" s="56">
        <f aca="true" t="shared" si="0" ref="D7:N7">D8+D21</f>
        <v>3013.12</v>
      </c>
      <c r="E7" s="56">
        <f t="shared" si="0"/>
        <v>-251.016</v>
      </c>
      <c r="F7" s="56">
        <f t="shared" si="0"/>
        <v>-35.29600000000001</v>
      </c>
      <c r="G7" s="56">
        <f t="shared" si="0"/>
        <v>301.312</v>
      </c>
      <c r="H7" s="56">
        <f t="shared" si="0"/>
        <v>0</v>
      </c>
      <c r="I7" s="56">
        <f t="shared" si="0"/>
        <v>-30.1312</v>
      </c>
      <c r="J7" s="56">
        <f t="shared" si="0"/>
        <v>2950</v>
      </c>
      <c r="K7" s="56">
        <f t="shared" si="0"/>
        <v>8365</v>
      </c>
      <c r="L7" s="56">
        <f t="shared" si="0"/>
        <v>-750</v>
      </c>
      <c r="M7" s="56">
        <f t="shared" si="0"/>
        <v>737.5</v>
      </c>
      <c r="N7" s="56">
        <f t="shared" si="0"/>
        <v>750.3659200000001</v>
      </c>
      <c r="O7" s="56"/>
    </row>
    <row r="8" spans="1:15" ht="28.5" customHeight="1">
      <c r="A8" s="38"/>
      <c r="B8" s="144" t="s">
        <v>252</v>
      </c>
      <c r="C8" s="99">
        <f>SUM(C9:C20)</f>
        <v>9961.56</v>
      </c>
      <c r="D8" s="99">
        <f aca="true" t="shared" si="1" ref="D8:N8">SUM(D9:D20)</f>
        <v>2244</v>
      </c>
      <c r="E8" s="99">
        <f t="shared" si="1"/>
        <v>-189</v>
      </c>
      <c r="F8" s="99">
        <f t="shared" si="1"/>
        <v>-20.400000000000002</v>
      </c>
      <c r="G8" s="99">
        <f t="shared" si="1"/>
        <v>224.4</v>
      </c>
      <c r="H8" s="99">
        <f t="shared" si="1"/>
        <v>0</v>
      </c>
      <c r="I8" s="99">
        <f t="shared" si="1"/>
        <v>-22.439999999999998</v>
      </c>
      <c r="J8" s="99">
        <f t="shared" si="1"/>
        <v>2850</v>
      </c>
      <c r="K8" s="99">
        <f t="shared" si="1"/>
        <v>8015</v>
      </c>
      <c r="L8" s="99">
        <f t="shared" si="1"/>
        <v>-750</v>
      </c>
      <c r="M8" s="99">
        <f t="shared" si="1"/>
        <v>655</v>
      </c>
      <c r="N8" s="99">
        <f t="shared" si="1"/>
        <v>664.104</v>
      </c>
      <c r="O8" s="99"/>
    </row>
    <row r="9" spans="1:15" ht="18" customHeight="1">
      <c r="A9" s="41">
        <v>1</v>
      </c>
      <c r="B9" s="58" t="s">
        <v>73</v>
      </c>
      <c r="C9" s="39">
        <f>SUM(D9:M9)</f>
        <v>190.575</v>
      </c>
      <c r="D9" s="42">
        <v>192.5</v>
      </c>
      <c r="E9" s="42">
        <v>-17.5</v>
      </c>
      <c r="F9" s="42">
        <v>-1.75</v>
      </c>
      <c r="G9" s="42">
        <v>19.25</v>
      </c>
      <c r="H9" s="42">
        <v>0</v>
      </c>
      <c r="I9" s="42">
        <v>-1.925</v>
      </c>
      <c r="J9" s="42"/>
      <c r="K9" s="42">
        <v>0</v>
      </c>
      <c r="L9" s="42"/>
      <c r="M9" s="42"/>
      <c r="N9" s="99">
        <f>C9/12*8*0.1</f>
        <v>12.705</v>
      </c>
      <c r="O9" s="99"/>
    </row>
    <row r="10" spans="1:15" ht="18" customHeight="1">
      <c r="A10" s="41">
        <v>2</v>
      </c>
      <c r="B10" s="58" t="s">
        <v>72</v>
      </c>
      <c r="C10" s="39">
        <f aca="true" t="shared" si="2" ref="C10:C19">SUM(D10:M10)</f>
        <v>170.973</v>
      </c>
      <c r="D10" s="42">
        <v>172.7</v>
      </c>
      <c r="E10" s="42">
        <v>-15.7</v>
      </c>
      <c r="F10" s="42">
        <v>-1.57</v>
      </c>
      <c r="G10" s="42">
        <v>17.27</v>
      </c>
      <c r="H10" s="42">
        <v>0</v>
      </c>
      <c r="I10" s="42">
        <v>-1.727</v>
      </c>
      <c r="J10" s="42"/>
      <c r="K10" s="42">
        <v>0</v>
      </c>
      <c r="L10" s="42"/>
      <c r="M10" s="42"/>
      <c r="N10" s="99">
        <f aca="true" t="shared" si="3" ref="N10:N21">C10/12*8*0.1</f>
        <v>11.398200000000003</v>
      </c>
      <c r="O10" s="99"/>
    </row>
    <row r="11" spans="1:15" ht="18" customHeight="1">
      <c r="A11" s="41">
        <v>3</v>
      </c>
      <c r="B11" s="58" t="s">
        <v>71</v>
      </c>
      <c r="C11" s="39">
        <f t="shared" si="2"/>
        <v>266.805</v>
      </c>
      <c r="D11" s="42">
        <v>269.5</v>
      </c>
      <c r="E11" s="42">
        <v>-24.5</v>
      </c>
      <c r="F11" s="42">
        <v>-2.45</v>
      </c>
      <c r="G11" s="42">
        <v>26.95</v>
      </c>
      <c r="H11" s="42">
        <v>0</v>
      </c>
      <c r="I11" s="42">
        <v>-2.695</v>
      </c>
      <c r="J11" s="42"/>
      <c r="K11" s="42">
        <v>0</v>
      </c>
      <c r="L11" s="42"/>
      <c r="M11" s="42"/>
      <c r="N11" s="99">
        <f t="shared" si="3"/>
        <v>17.787000000000003</v>
      </c>
      <c r="O11" s="99"/>
    </row>
    <row r="12" spans="1:15" ht="18" customHeight="1">
      <c r="A12" s="41">
        <v>4</v>
      </c>
      <c r="B12" s="58" t="s">
        <v>70</v>
      </c>
      <c r="C12" s="39">
        <f t="shared" si="2"/>
        <v>475.893</v>
      </c>
      <c r="D12" s="42">
        <v>480.7</v>
      </c>
      <c r="E12" s="42">
        <v>-43.7</v>
      </c>
      <c r="F12" s="42">
        <v>-4.37</v>
      </c>
      <c r="G12" s="42">
        <v>48.07</v>
      </c>
      <c r="H12" s="42">
        <v>0</v>
      </c>
      <c r="I12" s="42">
        <v>-4.807</v>
      </c>
      <c r="J12" s="42"/>
      <c r="K12" s="42">
        <v>0</v>
      </c>
      <c r="L12" s="42"/>
      <c r="M12" s="42"/>
      <c r="N12" s="99">
        <f t="shared" si="3"/>
        <v>31.726200000000002</v>
      </c>
      <c r="O12" s="99"/>
    </row>
    <row r="13" spans="1:15" ht="18" customHeight="1">
      <c r="A13" s="41">
        <v>5</v>
      </c>
      <c r="B13" s="58" t="s">
        <v>104</v>
      </c>
      <c r="C13" s="39">
        <f t="shared" si="2"/>
        <v>190.575</v>
      </c>
      <c r="D13" s="42">
        <v>192.5</v>
      </c>
      <c r="E13" s="42">
        <v>-17.5</v>
      </c>
      <c r="F13" s="42">
        <v>-1.75</v>
      </c>
      <c r="G13" s="42">
        <v>19.25</v>
      </c>
      <c r="H13" s="42">
        <v>0</v>
      </c>
      <c r="I13" s="42">
        <v>-1.925</v>
      </c>
      <c r="J13" s="42"/>
      <c r="K13" s="42">
        <v>0</v>
      </c>
      <c r="L13" s="42"/>
      <c r="M13" s="42"/>
      <c r="N13" s="99">
        <f t="shared" si="3"/>
        <v>12.705</v>
      </c>
      <c r="O13" s="99"/>
    </row>
    <row r="14" spans="1:15" ht="18" customHeight="1">
      <c r="A14" s="41">
        <v>6</v>
      </c>
      <c r="B14" s="58" t="s">
        <v>69</v>
      </c>
      <c r="C14" s="39">
        <f t="shared" si="2"/>
        <v>304.92</v>
      </c>
      <c r="D14" s="42">
        <v>308</v>
      </c>
      <c r="E14" s="42">
        <v>-28</v>
      </c>
      <c r="F14" s="42">
        <v>-2.8</v>
      </c>
      <c r="G14" s="42">
        <v>30.8</v>
      </c>
      <c r="H14" s="42">
        <v>0</v>
      </c>
      <c r="I14" s="42">
        <v>-3.08</v>
      </c>
      <c r="J14" s="42"/>
      <c r="K14" s="42">
        <v>0</v>
      </c>
      <c r="L14" s="42"/>
      <c r="M14" s="42"/>
      <c r="N14" s="99">
        <f t="shared" si="3"/>
        <v>20.328000000000003</v>
      </c>
      <c r="O14" s="99"/>
    </row>
    <row r="15" spans="1:15" ht="18" customHeight="1">
      <c r="A15" s="41">
        <v>7</v>
      </c>
      <c r="B15" s="58" t="s">
        <v>93</v>
      </c>
      <c r="C15" s="39">
        <f t="shared" si="2"/>
        <v>190.575</v>
      </c>
      <c r="D15" s="42">
        <v>192.5</v>
      </c>
      <c r="E15" s="42">
        <v>-17.5</v>
      </c>
      <c r="F15" s="42">
        <v>-1.75</v>
      </c>
      <c r="G15" s="42">
        <v>19.25</v>
      </c>
      <c r="H15" s="42">
        <v>0</v>
      </c>
      <c r="I15" s="42">
        <v>-1.925</v>
      </c>
      <c r="J15" s="42"/>
      <c r="K15" s="42">
        <v>0</v>
      </c>
      <c r="L15" s="42"/>
      <c r="M15" s="42"/>
      <c r="N15" s="99">
        <f t="shared" si="3"/>
        <v>12.705</v>
      </c>
      <c r="O15" s="99"/>
    </row>
    <row r="16" spans="1:15" ht="18" customHeight="1">
      <c r="A16" s="41">
        <v>8</v>
      </c>
      <c r="B16" s="58" t="s">
        <v>68</v>
      </c>
      <c r="C16" s="39">
        <f t="shared" si="2"/>
        <v>178.35</v>
      </c>
      <c r="D16" s="42">
        <v>165</v>
      </c>
      <c r="E16" s="42">
        <v>0</v>
      </c>
      <c r="F16" s="42">
        <v>-1.5</v>
      </c>
      <c r="G16" s="42">
        <v>16.5</v>
      </c>
      <c r="H16" s="42">
        <v>0</v>
      </c>
      <c r="I16" s="42">
        <v>-1.65</v>
      </c>
      <c r="J16" s="42"/>
      <c r="K16" s="42">
        <v>0</v>
      </c>
      <c r="L16" s="42"/>
      <c r="M16" s="42"/>
      <c r="N16" s="99">
        <f t="shared" si="3"/>
        <v>11.89</v>
      </c>
      <c r="O16" s="99"/>
    </row>
    <row r="17" spans="1:15" ht="18" customHeight="1">
      <c r="A17" s="41">
        <v>9</v>
      </c>
      <c r="B17" s="58" t="s">
        <v>94</v>
      </c>
      <c r="C17" s="39">
        <f t="shared" si="2"/>
        <v>39.204</v>
      </c>
      <c r="D17" s="42">
        <v>39.6</v>
      </c>
      <c r="E17" s="42">
        <v>-3.6</v>
      </c>
      <c r="F17" s="42">
        <v>-0.36</v>
      </c>
      <c r="G17" s="42">
        <v>3.96</v>
      </c>
      <c r="H17" s="42">
        <v>0</v>
      </c>
      <c r="I17" s="42">
        <v>-0.3960000000000001</v>
      </c>
      <c r="J17" s="42"/>
      <c r="K17" s="42">
        <v>0</v>
      </c>
      <c r="L17" s="42"/>
      <c r="M17" s="42"/>
      <c r="N17" s="99">
        <f t="shared" si="3"/>
        <v>2.6136</v>
      </c>
      <c r="O17" s="99"/>
    </row>
    <row r="18" spans="1:15" ht="18" customHeight="1">
      <c r="A18" s="41">
        <v>11</v>
      </c>
      <c r="B18" s="58" t="s">
        <v>107</v>
      </c>
      <c r="C18" s="39">
        <f t="shared" si="2"/>
        <v>228.69</v>
      </c>
      <c r="D18" s="42">
        <v>231</v>
      </c>
      <c r="E18" s="42">
        <v>-21</v>
      </c>
      <c r="F18" s="42">
        <v>-2.1</v>
      </c>
      <c r="G18" s="42">
        <v>23.1</v>
      </c>
      <c r="H18" s="42">
        <v>0</v>
      </c>
      <c r="I18" s="42">
        <v>-2.31</v>
      </c>
      <c r="J18" s="42"/>
      <c r="K18" s="42">
        <v>0</v>
      </c>
      <c r="L18" s="42"/>
      <c r="M18" s="42"/>
      <c r="N18" s="99">
        <f t="shared" si="3"/>
        <v>15.246000000000002</v>
      </c>
      <c r="O18" s="99"/>
    </row>
    <row r="19" spans="1:15" ht="18" customHeight="1">
      <c r="A19" s="41">
        <v>10</v>
      </c>
      <c r="B19" s="58" t="s">
        <v>92</v>
      </c>
      <c r="C19" s="39">
        <f t="shared" si="2"/>
        <v>1575</v>
      </c>
      <c r="D19" s="42"/>
      <c r="E19" s="42">
        <v>0</v>
      </c>
      <c r="F19" s="42">
        <v>0</v>
      </c>
      <c r="G19" s="42">
        <v>0</v>
      </c>
      <c r="H19" s="42">
        <v>0</v>
      </c>
      <c r="I19" s="42">
        <v>0</v>
      </c>
      <c r="J19" s="42"/>
      <c r="K19" s="42">
        <v>1500</v>
      </c>
      <c r="L19" s="42"/>
      <c r="M19" s="42">
        <v>75</v>
      </c>
      <c r="N19" s="99">
        <f t="shared" si="3"/>
        <v>105</v>
      </c>
      <c r="O19" s="99"/>
    </row>
    <row r="20" spans="1:16" ht="18" customHeight="1">
      <c r="A20" s="95">
        <v>12</v>
      </c>
      <c r="B20" s="118" t="s">
        <v>110</v>
      </c>
      <c r="C20" s="39">
        <f>SUM(D20:M20)-3045</f>
        <v>6150</v>
      </c>
      <c r="D20" s="42"/>
      <c r="E20" s="42">
        <v>0</v>
      </c>
      <c r="F20" s="42">
        <v>0</v>
      </c>
      <c r="G20" s="42">
        <v>0</v>
      </c>
      <c r="H20" s="42">
        <v>0</v>
      </c>
      <c r="I20" s="42">
        <v>0</v>
      </c>
      <c r="J20" s="42">
        <v>2850</v>
      </c>
      <c r="K20" s="42">
        <v>6515</v>
      </c>
      <c r="L20" s="42">
        <v>-750</v>
      </c>
      <c r="M20" s="42">
        <v>580</v>
      </c>
      <c r="N20" s="99">
        <f t="shared" si="3"/>
        <v>410</v>
      </c>
      <c r="O20" s="103" t="s">
        <v>217</v>
      </c>
      <c r="P20" s="44"/>
    </row>
    <row r="21" spans="1:17" s="67" customFormat="1" ht="18" customHeight="1">
      <c r="A21" s="119"/>
      <c r="B21" s="120" t="s">
        <v>169</v>
      </c>
      <c r="C21" s="39">
        <f>SUM(D21:M21)</f>
        <v>1293.9288000000001</v>
      </c>
      <c r="D21" s="39">
        <v>769.12</v>
      </c>
      <c r="E21" s="39">
        <v>-62.016</v>
      </c>
      <c r="F21" s="39">
        <v>-14.896000000000004</v>
      </c>
      <c r="G21" s="39">
        <v>76.912</v>
      </c>
      <c r="H21" s="39">
        <v>0</v>
      </c>
      <c r="I21" s="39">
        <v>-7.691200000000001</v>
      </c>
      <c r="J21" s="39">
        <v>100</v>
      </c>
      <c r="K21" s="39">
        <v>350</v>
      </c>
      <c r="L21" s="39"/>
      <c r="M21" s="39">
        <v>82.5</v>
      </c>
      <c r="N21" s="99">
        <f t="shared" si="3"/>
        <v>86.26192000000002</v>
      </c>
      <c r="O21" s="99"/>
      <c r="Q21" s="37"/>
    </row>
    <row r="22" spans="1:15" ht="12" customHeight="1">
      <c r="A22" s="59"/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</row>
    <row r="24" ht="13.5">
      <c r="A24" s="54"/>
    </row>
  </sheetData>
  <sheetProtection/>
  <mergeCells count="15">
    <mergeCell ref="A1:O1"/>
    <mergeCell ref="G3:I3"/>
    <mergeCell ref="G2:I2"/>
    <mergeCell ref="L3:M3"/>
    <mergeCell ref="L2:M2"/>
    <mergeCell ref="A4:A6"/>
    <mergeCell ref="B4:B6"/>
    <mergeCell ref="C4:C6"/>
    <mergeCell ref="J5:K5"/>
    <mergeCell ref="L5:M5"/>
    <mergeCell ref="N4:N6"/>
    <mergeCell ref="D4:M4"/>
    <mergeCell ref="D5:F5"/>
    <mergeCell ref="G5:I5"/>
    <mergeCell ref="O4:O6"/>
  </mergeCells>
  <printOptions/>
  <pageMargins left="0.7" right="0.32" top="0.7" bottom="0.25" header="0.35" footer="0.2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51"/>
  <sheetViews>
    <sheetView zoomScalePageLayoutView="0" workbookViewId="0" topLeftCell="A1">
      <selection activeCell="N3" sqref="N3:N5"/>
    </sheetView>
  </sheetViews>
  <sheetFormatPr defaultColWidth="9.09765625" defaultRowHeight="14.25"/>
  <cols>
    <col min="1" max="1" width="3.3984375" style="8" customWidth="1"/>
    <col min="2" max="2" width="31.296875" style="3" customWidth="1"/>
    <col min="3" max="3" width="13.09765625" style="3" hidden="1" customWidth="1"/>
    <col min="4" max="4" width="6" style="3" hidden="1" customWidth="1"/>
    <col min="5" max="5" width="5.296875" style="3" hidden="1" customWidth="1"/>
    <col min="6" max="6" width="5.09765625" style="3" hidden="1" customWidth="1"/>
    <col min="7" max="7" width="6" style="3" hidden="1" customWidth="1"/>
    <col min="8" max="8" width="6.69921875" style="3" hidden="1" customWidth="1"/>
    <col min="9" max="9" width="6" style="3" hidden="1" customWidth="1"/>
    <col min="10" max="10" width="5.3984375" style="3" hidden="1" customWidth="1"/>
    <col min="11" max="11" width="6.59765625" style="3" hidden="1" customWidth="1"/>
    <col min="12" max="12" width="6" style="3" hidden="1" customWidth="1"/>
    <col min="13" max="13" width="6.8984375" style="3" hidden="1" customWidth="1"/>
    <col min="14" max="14" width="10.8984375" style="3" customWidth="1"/>
    <col min="15" max="15" width="55.69921875" style="8" customWidth="1"/>
    <col min="16" max="16384" width="9.09765625" style="3" customWidth="1"/>
  </cols>
  <sheetData>
    <row r="1" spans="1:15" s="121" customFormat="1" ht="31.5" customHeight="1">
      <c r="A1" s="156" t="s">
        <v>274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</row>
    <row r="2" spans="1:15" ht="20.25" customHeight="1">
      <c r="A2" s="122"/>
      <c r="B2" s="122"/>
      <c r="C2" s="1"/>
      <c r="D2" s="2"/>
      <c r="E2" s="2"/>
      <c r="F2" s="2"/>
      <c r="G2" s="196"/>
      <c r="H2" s="196"/>
      <c r="I2" s="196"/>
      <c r="J2" s="25"/>
      <c r="K2" s="2"/>
      <c r="L2" s="195" t="s">
        <v>29</v>
      </c>
      <c r="M2" s="195"/>
      <c r="O2" s="21" t="s">
        <v>29</v>
      </c>
    </row>
    <row r="3" spans="1:15" ht="16.5" customHeight="1">
      <c r="A3" s="191" t="s">
        <v>20</v>
      </c>
      <c r="B3" s="191" t="s">
        <v>21</v>
      </c>
      <c r="C3" s="203" t="s">
        <v>187</v>
      </c>
      <c r="D3" s="197" t="s">
        <v>3</v>
      </c>
      <c r="E3" s="198"/>
      <c r="F3" s="198"/>
      <c r="G3" s="198"/>
      <c r="H3" s="198"/>
      <c r="I3" s="198"/>
      <c r="J3" s="198"/>
      <c r="K3" s="198"/>
      <c r="L3" s="198"/>
      <c r="M3" s="199"/>
      <c r="N3" s="192" t="s">
        <v>277</v>
      </c>
      <c r="O3" s="192" t="s">
        <v>179</v>
      </c>
    </row>
    <row r="4" spans="1:15" ht="18" customHeight="1">
      <c r="A4" s="191"/>
      <c r="B4" s="191"/>
      <c r="C4" s="203"/>
      <c r="D4" s="197" t="s">
        <v>149</v>
      </c>
      <c r="E4" s="198"/>
      <c r="F4" s="199"/>
      <c r="G4" s="200" t="s">
        <v>150</v>
      </c>
      <c r="H4" s="200"/>
      <c r="I4" s="200"/>
      <c r="J4" s="201" t="s">
        <v>149</v>
      </c>
      <c r="K4" s="202"/>
      <c r="L4" s="201" t="s">
        <v>150</v>
      </c>
      <c r="M4" s="202"/>
      <c r="N4" s="193"/>
      <c r="O4" s="193"/>
    </row>
    <row r="5" spans="1:15" ht="34.5" customHeight="1">
      <c r="A5" s="191"/>
      <c r="B5" s="191"/>
      <c r="C5" s="203"/>
      <c r="D5" s="16" t="s">
        <v>114</v>
      </c>
      <c r="E5" s="16" t="s">
        <v>122</v>
      </c>
      <c r="F5" s="16" t="s">
        <v>178</v>
      </c>
      <c r="G5" s="16" t="s">
        <v>151</v>
      </c>
      <c r="H5" s="16" t="s">
        <v>152</v>
      </c>
      <c r="I5" s="16" t="s">
        <v>178</v>
      </c>
      <c r="J5" s="16" t="s">
        <v>81</v>
      </c>
      <c r="K5" s="16" t="s">
        <v>125</v>
      </c>
      <c r="L5" s="16" t="s">
        <v>155</v>
      </c>
      <c r="M5" s="16" t="s">
        <v>156</v>
      </c>
      <c r="N5" s="194"/>
      <c r="O5" s="194"/>
    </row>
    <row r="6" spans="1:15" ht="15" customHeight="1">
      <c r="A6" s="32"/>
      <c r="B6" s="32" t="s">
        <v>22</v>
      </c>
      <c r="C6" s="33">
        <f>SUM(C7:C39)/2+SUM(C40:C48)</f>
        <v>35327.21770537555</v>
      </c>
      <c r="D6" s="33">
        <f aca="true" t="shared" si="0" ref="D6:N6">SUM(D7:D39)/2+SUM(D40:D48)</f>
        <v>5702.449123711341</v>
      </c>
      <c r="E6" s="33">
        <f t="shared" si="0"/>
        <v>-465.16228</v>
      </c>
      <c r="F6" s="33">
        <f t="shared" si="0"/>
        <v>-89.9640756701031</v>
      </c>
      <c r="G6" s="33">
        <f t="shared" si="0"/>
        <v>501.86449999999996</v>
      </c>
      <c r="H6" s="33">
        <f t="shared" si="0"/>
        <v>1369.1298748159056</v>
      </c>
      <c r="I6" s="33">
        <f t="shared" si="0"/>
        <v>-187.0994374815906</v>
      </c>
      <c r="J6" s="33">
        <f t="shared" si="0"/>
        <v>2666</v>
      </c>
      <c r="K6" s="33">
        <f t="shared" si="0"/>
        <v>38188</v>
      </c>
      <c r="L6" s="33">
        <f t="shared" si="0"/>
        <v>-512</v>
      </c>
      <c r="M6" s="33">
        <f t="shared" si="0"/>
        <v>184</v>
      </c>
      <c r="N6" s="33">
        <f t="shared" si="0"/>
        <v>2337.547847025037</v>
      </c>
      <c r="O6" s="33"/>
    </row>
    <row r="7" spans="1:15" s="4" customFormat="1" ht="15" customHeight="1">
      <c r="A7" s="10">
        <v>1</v>
      </c>
      <c r="B7" s="9" t="s">
        <v>228</v>
      </c>
      <c r="C7" s="9">
        <f aca="true" t="shared" si="1" ref="C7:N7">SUM(C8:C9)</f>
        <v>1408.1272</v>
      </c>
      <c r="D7" s="9">
        <f t="shared" si="1"/>
        <v>215.28</v>
      </c>
      <c r="E7" s="9">
        <f t="shared" si="1"/>
        <v>-20.3</v>
      </c>
      <c r="F7" s="9">
        <f t="shared" si="1"/>
        <v>-1.2280000000000002</v>
      </c>
      <c r="G7" s="9">
        <f t="shared" si="1"/>
        <v>21.528000000000002</v>
      </c>
      <c r="H7" s="9">
        <f t="shared" si="1"/>
        <v>0</v>
      </c>
      <c r="I7" s="9">
        <f t="shared" si="1"/>
        <v>-2.1528000000000005</v>
      </c>
      <c r="J7" s="9">
        <f t="shared" si="1"/>
        <v>0</v>
      </c>
      <c r="K7" s="9">
        <f t="shared" si="1"/>
        <v>1140</v>
      </c>
      <c r="L7" s="9">
        <f t="shared" si="1"/>
        <v>0</v>
      </c>
      <c r="M7" s="9">
        <f t="shared" si="1"/>
        <v>175</v>
      </c>
      <c r="N7" s="9">
        <f t="shared" si="1"/>
        <v>93.87514666666667</v>
      </c>
      <c r="O7" s="9"/>
    </row>
    <row r="8" spans="1:15" ht="15" customHeight="1">
      <c r="A8" s="10"/>
      <c r="B8" s="11" t="s">
        <v>65</v>
      </c>
      <c r="C8" s="9">
        <f aca="true" t="shared" si="2" ref="C8:C48">SUM(D8:M8)</f>
        <v>413.12719999999996</v>
      </c>
      <c r="D8" s="12">
        <v>215.28</v>
      </c>
      <c r="E8" s="12">
        <v>-20.3</v>
      </c>
      <c r="F8" s="12">
        <v>-1.2280000000000002</v>
      </c>
      <c r="G8" s="12">
        <v>21.528000000000002</v>
      </c>
      <c r="H8" s="12">
        <v>0</v>
      </c>
      <c r="I8" s="12">
        <v>-2.1528000000000005</v>
      </c>
      <c r="J8" s="12">
        <v>0</v>
      </c>
      <c r="K8" s="12">
        <v>150</v>
      </c>
      <c r="L8" s="12"/>
      <c r="M8" s="12">
        <v>50</v>
      </c>
      <c r="N8" s="9">
        <f aca="true" t="shared" si="3" ref="N8:N48">C8/12*8*0.1</f>
        <v>27.54181333333333</v>
      </c>
      <c r="O8" s="9"/>
    </row>
    <row r="9" spans="1:15" ht="15" customHeight="1">
      <c r="A9" s="10"/>
      <c r="B9" s="18" t="s">
        <v>75</v>
      </c>
      <c r="C9" s="9">
        <f>SUM(D9:M9)-120</f>
        <v>995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>
        <v>990</v>
      </c>
      <c r="L9" s="12"/>
      <c r="M9" s="12">
        <v>125</v>
      </c>
      <c r="N9" s="9">
        <f t="shared" si="3"/>
        <v>66.33333333333334</v>
      </c>
      <c r="O9" s="12" t="s">
        <v>192</v>
      </c>
    </row>
    <row r="10" spans="1:15" ht="15" customHeight="1">
      <c r="A10" s="10">
        <v>2</v>
      </c>
      <c r="B10" s="17" t="s">
        <v>251</v>
      </c>
      <c r="C10" s="9">
        <f>C11+C12</f>
        <v>2168.1889285714287</v>
      </c>
      <c r="D10" s="9">
        <f aca="true" t="shared" si="4" ref="D10:N10">D11+D12</f>
        <v>205.7</v>
      </c>
      <c r="E10" s="9">
        <f t="shared" si="4"/>
        <v>-18.7</v>
      </c>
      <c r="F10" s="9">
        <f t="shared" si="4"/>
        <v>-1.87</v>
      </c>
      <c r="G10" s="9">
        <f t="shared" si="4"/>
        <v>20.57</v>
      </c>
      <c r="H10" s="9">
        <f t="shared" si="4"/>
        <v>16.162142857142857</v>
      </c>
      <c r="I10" s="9">
        <f t="shared" si="4"/>
        <v>-3.673214285714286</v>
      </c>
      <c r="J10" s="9">
        <f t="shared" si="4"/>
        <v>0</v>
      </c>
      <c r="K10" s="9">
        <f t="shared" si="4"/>
        <v>2620</v>
      </c>
      <c r="L10" s="9">
        <f t="shared" si="4"/>
        <v>0</v>
      </c>
      <c r="M10" s="9">
        <f t="shared" si="4"/>
        <v>-670</v>
      </c>
      <c r="N10" s="9">
        <f t="shared" si="4"/>
        <v>144.54592857142856</v>
      </c>
      <c r="O10" s="9"/>
    </row>
    <row r="11" spans="1:15" ht="15" customHeight="1">
      <c r="A11" s="10"/>
      <c r="B11" s="11" t="s">
        <v>63</v>
      </c>
      <c r="C11" s="9">
        <f t="shared" si="2"/>
        <v>218.18892857142856</v>
      </c>
      <c r="D11" s="12">
        <v>205.7</v>
      </c>
      <c r="E11" s="12">
        <v>-18.7</v>
      </c>
      <c r="F11" s="12">
        <v>-1.87</v>
      </c>
      <c r="G11" s="12">
        <v>20.57</v>
      </c>
      <c r="H11" s="12">
        <v>16.162142857142857</v>
      </c>
      <c r="I11" s="12">
        <v>-3.673214285714286</v>
      </c>
      <c r="J11" s="12">
        <v>0</v>
      </c>
      <c r="K11" s="12">
        <v>0</v>
      </c>
      <c r="L11" s="12"/>
      <c r="M11" s="12"/>
      <c r="N11" s="9">
        <f t="shared" si="3"/>
        <v>14.54592857142857</v>
      </c>
      <c r="O11" s="9"/>
    </row>
    <row r="12" spans="1:15" ht="15" customHeight="1">
      <c r="A12" s="10"/>
      <c r="B12" s="18" t="s">
        <v>75</v>
      </c>
      <c r="C12" s="9">
        <f t="shared" si="2"/>
        <v>1950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2620</v>
      </c>
      <c r="L12" s="12"/>
      <c r="M12" s="12">
        <v>-670</v>
      </c>
      <c r="N12" s="9">
        <f t="shared" si="3"/>
        <v>130</v>
      </c>
      <c r="O12" s="9"/>
    </row>
    <row r="13" spans="1:15" ht="15" customHeight="1">
      <c r="A13" s="10">
        <v>3</v>
      </c>
      <c r="B13" s="9" t="s">
        <v>235</v>
      </c>
      <c r="C13" s="9">
        <f aca="true" t="shared" si="5" ref="C13:N13">SUM(C14:C16)</f>
        <v>2105.8382</v>
      </c>
      <c r="D13" s="9">
        <f t="shared" si="5"/>
        <v>334.18</v>
      </c>
      <c r="E13" s="9">
        <f t="shared" si="5"/>
        <v>-30.38</v>
      </c>
      <c r="F13" s="9">
        <f t="shared" si="5"/>
        <v>-3.0380000000000003</v>
      </c>
      <c r="G13" s="9">
        <f t="shared" si="5"/>
        <v>33.418000000000006</v>
      </c>
      <c r="H13" s="9">
        <f t="shared" si="5"/>
        <v>0</v>
      </c>
      <c r="I13" s="9">
        <f t="shared" si="5"/>
        <v>-3.3418</v>
      </c>
      <c r="J13" s="9">
        <f t="shared" si="5"/>
        <v>80</v>
      </c>
      <c r="K13" s="9">
        <f t="shared" si="5"/>
        <v>1873</v>
      </c>
      <c r="L13" s="9">
        <f t="shared" si="5"/>
        <v>20</v>
      </c>
      <c r="M13" s="9">
        <f t="shared" si="5"/>
        <v>-198</v>
      </c>
      <c r="N13" s="9">
        <f t="shared" si="5"/>
        <v>140.38921333333334</v>
      </c>
      <c r="O13" s="9"/>
    </row>
    <row r="14" spans="1:15" ht="15" customHeight="1">
      <c r="A14" s="10"/>
      <c r="B14" s="18" t="s">
        <v>52</v>
      </c>
      <c r="C14" s="9">
        <f t="shared" si="2"/>
        <v>282.156</v>
      </c>
      <c r="D14" s="12">
        <v>224.4</v>
      </c>
      <c r="E14" s="12">
        <v>-20.4</v>
      </c>
      <c r="F14" s="12">
        <v>-2.04</v>
      </c>
      <c r="G14" s="12">
        <v>22.44</v>
      </c>
      <c r="H14" s="12">
        <v>0</v>
      </c>
      <c r="I14" s="12">
        <v>-2.244</v>
      </c>
      <c r="J14" s="12">
        <v>50</v>
      </c>
      <c r="K14" s="12">
        <v>0</v>
      </c>
      <c r="L14" s="12">
        <v>10</v>
      </c>
      <c r="M14" s="12"/>
      <c r="N14" s="9">
        <f t="shared" si="3"/>
        <v>18.8104</v>
      </c>
      <c r="O14" s="9"/>
    </row>
    <row r="15" spans="1:15" ht="15" customHeight="1">
      <c r="A15" s="10"/>
      <c r="B15" s="18" t="s">
        <v>86</v>
      </c>
      <c r="C15" s="9">
        <f t="shared" si="2"/>
        <v>148.6822</v>
      </c>
      <c r="D15" s="12">
        <v>109.78</v>
      </c>
      <c r="E15" s="12">
        <v>-9.98</v>
      </c>
      <c r="F15" s="12">
        <v>-0.9980000000000004</v>
      </c>
      <c r="G15" s="12">
        <v>10.978000000000002</v>
      </c>
      <c r="H15" s="12">
        <v>0</v>
      </c>
      <c r="I15" s="12">
        <v>-1.0978</v>
      </c>
      <c r="J15" s="12">
        <v>30</v>
      </c>
      <c r="K15" s="12">
        <v>0</v>
      </c>
      <c r="L15" s="12">
        <v>10</v>
      </c>
      <c r="M15" s="12"/>
      <c r="N15" s="9">
        <f t="shared" si="3"/>
        <v>9.912146666666667</v>
      </c>
      <c r="O15" s="9"/>
    </row>
    <row r="16" spans="1:15" ht="15" customHeight="1">
      <c r="A16" s="10"/>
      <c r="B16" s="18" t="s">
        <v>75</v>
      </c>
      <c r="C16" s="9">
        <f t="shared" si="2"/>
        <v>1675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1873</v>
      </c>
      <c r="L16" s="12"/>
      <c r="M16" s="12">
        <v>-198</v>
      </c>
      <c r="N16" s="9">
        <f t="shared" si="3"/>
        <v>111.66666666666669</v>
      </c>
      <c r="O16" s="9"/>
    </row>
    <row r="17" spans="1:15" ht="15" customHeight="1">
      <c r="A17" s="10">
        <v>4</v>
      </c>
      <c r="B17" s="9" t="s">
        <v>53</v>
      </c>
      <c r="C17" s="9">
        <f aca="true" t="shared" si="6" ref="C17:N17">SUM(C18:C19)</f>
        <v>3793.005</v>
      </c>
      <c r="D17" s="9">
        <f t="shared" si="6"/>
        <v>149.5</v>
      </c>
      <c r="E17" s="9">
        <f t="shared" si="6"/>
        <v>0</v>
      </c>
      <c r="F17" s="9">
        <f t="shared" si="6"/>
        <v>-14.95</v>
      </c>
      <c r="G17" s="9">
        <f t="shared" si="6"/>
        <v>14.95</v>
      </c>
      <c r="H17" s="9">
        <f t="shared" si="6"/>
        <v>0</v>
      </c>
      <c r="I17" s="9">
        <f t="shared" si="6"/>
        <v>-1.495</v>
      </c>
      <c r="J17" s="9">
        <f t="shared" si="6"/>
        <v>245</v>
      </c>
      <c r="K17" s="9">
        <f t="shared" si="6"/>
        <v>3540</v>
      </c>
      <c r="L17" s="9">
        <f t="shared" si="6"/>
        <v>0</v>
      </c>
      <c r="M17" s="9">
        <f t="shared" si="6"/>
        <v>2900</v>
      </c>
      <c r="N17" s="9">
        <f t="shared" si="6"/>
        <v>252.86700000000002</v>
      </c>
      <c r="O17" s="9"/>
    </row>
    <row r="18" spans="1:15" ht="15" customHeight="1">
      <c r="A18" s="10"/>
      <c r="B18" s="12" t="s">
        <v>190</v>
      </c>
      <c r="C18" s="9">
        <f>SUM(D18:M18)</f>
        <v>3548.005</v>
      </c>
      <c r="D18" s="12">
        <v>149.5</v>
      </c>
      <c r="E18" s="12"/>
      <c r="F18" s="12">
        <v>-14.95</v>
      </c>
      <c r="G18" s="12">
        <v>14.95</v>
      </c>
      <c r="H18" s="12">
        <v>0</v>
      </c>
      <c r="I18" s="12">
        <v>-1.495</v>
      </c>
      <c r="J18" s="12"/>
      <c r="K18" s="12">
        <v>500</v>
      </c>
      <c r="L18" s="12"/>
      <c r="M18" s="12">
        <v>2900</v>
      </c>
      <c r="N18" s="9">
        <f t="shared" si="3"/>
        <v>236.53366666666668</v>
      </c>
      <c r="O18" s="12" t="s">
        <v>191</v>
      </c>
    </row>
    <row r="19" spans="1:16" ht="15" customHeight="1">
      <c r="A19" s="10"/>
      <c r="B19" s="18" t="s">
        <v>18</v>
      </c>
      <c r="C19" s="9">
        <v>245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245</v>
      </c>
      <c r="K19" s="12">
        <v>3040</v>
      </c>
      <c r="L19" s="12"/>
      <c r="M19" s="12"/>
      <c r="N19" s="9">
        <f t="shared" si="3"/>
        <v>16.333333333333336</v>
      </c>
      <c r="O19" s="12" t="s">
        <v>186</v>
      </c>
      <c r="P19" s="2"/>
    </row>
    <row r="20" spans="1:16" ht="15" customHeight="1">
      <c r="A20" s="10">
        <v>5</v>
      </c>
      <c r="B20" s="9" t="s">
        <v>133</v>
      </c>
      <c r="C20" s="9">
        <f aca="true" t="shared" si="7" ref="C20:N20">SUM(C21:C23)</f>
        <v>13402.705176804124</v>
      </c>
      <c r="D20" s="9">
        <f t="shared" si="7"/>
        <v>2638.6091237113405</v>
      </c>
      <c r="E20" s="9">
        <f t="shared" si="7"/>
        <v>-258.055</v>
      </c>
      <c r="F20" s="9">
        <f t="shared" si="7"/>
        <v>-5.687355670103104</v>
      </c>
      <c r="G20" s="9">
        <f t="shared" si="7"/>
        <v>201.03050000000002</v>
      </c>
      <c r="H20" s="9">
        <f t="shared" si="7"/>
        <v>966.5677319587628</v>
      </c>
      <c r="I20" s="9">
        <f t="shared" si="7"/>
        <v>-116.7598231958763</v>
      </c>
      <c r="J20" s="9">
        <f t="shared" si="7"/>
        <v>1350</v>
      </c>
      <c r="K20" s="9">
        <f t="shared" si="7"/>
        <v>11780</v>
      </c>
      <c r="L20" s="9">
        <f t="shared" si="7"/>
        <v>-660</v>
      </c>
      <c r="M20" s="9">
        <f t="shared" si="7"/>
        <v>-2173</v>
      </c>
      <c r="N20" s="9">
        <f t="shared" si="7"/>
        <v>893.5136784536082</v>
      </c>
      <c r="O20" s="9"/>
      <c r="P20" s="2"/>
    </row>
    <row r="21" spans="1:16" ht="15" customHeight="1">
      <c r="A21" s="10"/>
      <c r="B21" s="12" t="s">
        <v>253</v>
      </c>
      <c r="C21" s="9">
        <f>SUM(D21:M21)-320</f>
        <v>3375.25795</v>
      </c>
      <c r="D21" s="12">
        <v>2010.305</v>
      </c>
      <c r="E21" s="12">
        <v>-201.055</v>
      </c>
      <c r="F21" s="12">
        <v>0.024499999999989086</v>
      </c>
      <c r="G21" s="12">
        <v>201.03050000000002</v>
      </c>
      <c r="H21" s="12">
        <v>1127.84</v>
      </c>
      <c r="I21" s="12">
        <v>-132.88705000000002</v>
      </c>
      <c r="J21" s="12">
        <v>1350</v>
      </c>
      <c r="K21" s="12">
        <v>0</v>
      </c>
      <c r="L21" s="12">
        <v>-660</v>
      </c>
      <c r="M21" s="12"/>
      <c r="N21" s="9">
        <f>C21/12*8*0.1</f>
        <v>225.01719666666668</v>
      </c>
      <c r="O21" s="42" t="s">
        <v>185</v>
      </c>
      <c r="P21" s="2"/>
    </row>
    <row r="22" spans="1:16" ht="15" customHeight="1">
      <c r="A22" s="10"/>
      <c r="B22" s="12" t="s">
        <v>2</v>
      </c>
      <c r="C22" s="9">
        <f t="shared" si="2"/>
        <v>420.4472268041237</v>
      </c>
      <c r="D22" s="12">
        <v>628.3041237113403</v>
      </c>
      <c r="E22" s="12">
        <v>-57</v>
      </c>
      <c r="F22" s="12">
        <v>-5.711855670103093</v>
      </c>
      <c r="G22" s="12">
        <v>0</v>
      </c>
      <c r="H22" s="12">
        <v>-161.27226804123717</v>
      </c>
      <c r="I22" s="12">
        <v>16.12722680412372</v>
      </c>
      <c r="J22" s="12"/>
      <c r="K22" s="12"/>
      <c r="L22" s="12"/>
      <c r="M22" s="12"/>
      <c r="N22" s="9">
        <f t="shared" si="3"/>
        <v>28.029815120274915</v>
      </c>
      <c r="O22" s="9"/>
      <c r="P22" s="2"/>
    </row>
    <row r="23" spans="1:16" ht="15" customHeight="1">
      <c r="A23" s="10"/>
      <c r="B23" s="12" t="s">
        <v>111</v>
      </c>
      <c r="C23" s="9">
        <f t="shared" si="2"/>
        <v>9607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/>
      <c r="K23" s="12">
        <v>11780</v>
      </c>
      <c r="L23" s="12"/>
      <c r="M23" s="12">
        <v>-2173</v>
      </c>
      <c r="N23" s="9">
        <f t="shared" si="3"/>
        <v>640.4666666666667</v>
      </c>
      <c r="O23" s="9"/>
      <c r="P23" s="2"/>
    </row>
    <row r="24" spans="1:16" ht="15" customHeight="1">
      <c r="A24" s="10">
        <v>6</v>
      </c>
      <c r="B24" s="17" t="s">
        <v>25</v>
      </c>
      <c r="C24" s="9">
        <f aca="true" t="shared" si="8" ref="C24:N24">SUM(C25:C26)</f>
        <v>308</v>
      </c>
      <c r="D24" s="9">
        <f t="shared" si="8"/>
        <v>0</v>
      </c>
      <c r="E24" s="9">
        <f t="shared" si="8"/>
        <v>0</v>
      </c>
      <c r="F24" s="9">
        <f t="shared" si="8"/>
        <v>0</v>
      </c>
      <c r="G24" s="9">
        <f t="shared" si="8"/>
        <v>0</v>
      </c>
      <c r="H24" s="9">
        <f t="shared" si="8"/>
        <v>0</v>
      </c>
      <c r="I24" s="9">
        <f t="shared" si="8"/>
        <v>0</v>
      </c>
      <c r="J24" s="9">
        <f t="shared" si="8"/>
        <v>30</v>
      </c>
      <c r="K24" s="9">
        <f t="shared" si="8"/>
        <v>278</v>
      </c>
      <c r="L24" s="9">
        <f t="shared" si="8"/>
        <v>0</v>
      </c>
      <c r="M24" s="9">
        <f t="shared" si="8"/>
        <v>0</v>
      </c>
      <c r="N24" s="9">
        <f t="shared" si="8"/>
        <v>20.533333333333335</v>
      </c>
      <c r="O24" s="9"/>
      <c r="P24" s="2"/>
    </row>
    <row r="25" spans="1:16" ht="15" customHeight="1">
      <c r="A25" s="10"/>
      <c r="B25" s="11" t="s">
        <v>66</v>
      </c>
      <c r="C25" s="9">
        <f t="shared" si="2"/>
        <v>30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30</v>
      </c>
      <c r="K25" s="12">
        <v>0</v>
      </c>
      <c r="L25" s="12"/>
      <c r="M25" s="12"/>
      <c r="N25" s="9">
        <f t="shared" si="3"/>
        <v>2</v>
      </c>
      <c r="O25" s="9"/>
      <c r="P25" s="2"/>
    </row>
    <row r="26" spans="1:16" ht="15" customHeight="1">
      <c r="A26" s="10"/>
      <c r="B26" s="18" t="s">
        <v>75</v>
      </c>
      <c r="C26" s="9">
        <f t="shared" si="2"/>
        <v>278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278</v>
      </c>
      <c r="L26" s="12"/>
      <c r="M26" s="12"/>
      <c r="N26" s="9">
        <f t="shared" si="3"/>
        <v>18.533333333333335</v>
      </c>
      <c r="O26" s="9"/>
      <c r="P26" s="2"/>
    </row>
    <row r="27" spans="1:16" ht="15" customHeight="1">
      <c r="A27" s="10">
        <v>7</v>
      </c>
      <c r="B27" s="17" t="s">
        <v>95</v>
      </c>
      <c r="C27" s="9">
        <f aca="true" t="shared" si="9" ref="C27:N27">C28+C29</f>
        <v>3033.95</v>
      </c>
      <c r="D27" s="9">
        <f t="shared" si="9"/>
        <v>155.5</v>
      </c>
      <c r="E27" s="9">
        <f t="shared" si="9"/>
        <v>-0.5</v>
      </c>
      <c r="F27" s="9">
        <f t="shared" si="9"/>
        <v>-0.05</v>
      </c>
      <c r="G27" s="9">
        <f t="shared" si="9"/>
        <v>10</v>
      </c>
      <c r="H27" s="9">
        <f t="shared" si="9"/>
        <v>0</v>
      </c>
      <c r="I27" s="9">
        <f t="shared" si="9"/>
        <v>-1</v>
      </c>
      <c r="J27" s="9">
        <f t="shared" si="9"/>
        <v>272</v>
      </c>
      <c r="K27" s="9">
        <f t="shared" si="9"/>
        <v>2100</v>
      </c>
      <c r="L27" s="9">
        <f t="shared" si="9"/>
        <v>-52</v>
      </c>
      <c r="M27" s="9">
        <f t="shared" si="9"/>
        <v>550</v>
      </c>
      <c r="N27" s="9">
        <f t="shared" si="9"/>
        <v>202.26333333333335</v>
      </c>
      <c r="O27" s="9"/>
      <c r="P27" s="2"/>
    </row>
    <row r="28" spans="1:15" ht="15" customHeight="1">
      <c r="A28" s="10"/>
      <c r="B28" s="11" t="s">
        <v>67</v>
      </c>
      <c r="C28" s="9">
        <f t="shared" si="2"/>
        <v>170.45</v>
      </c>
      <c r="D28" s="12">
        <v>5.5</v>
      </c>
      <c r="E28" s="12">
        <v>-0.5</v>
      </c>
      <c r="F28" s="12">
        <v>-0.05</v>
      </c>
      <c r="G28" s="12">
        <v>-5</v>
      </c>
      <c r="H28" s="12">
        <v>0</v>
      </c>
      <c r="I28" s="12">
        <v>0.5</v>
      </c>
      <c r="J28" s="12">
        <v>72</v>
      </c>
      <c r="K28" s="12">
        <v>100</v>
      </c>
      <c r="L28" s="12">
        <v>-52</v>
      </c>
      <c r="M28" s="12">
        <v>50</v>
      </c>
      <c r="N28" s="9">
        <f t="shared" si="3"/>
        <v>11.363333333333333</v>
      </c>
      <c r="O28" s="9"/>
    </row>
    <row r="29" spans="1:15" ht="15" customHeight="1">
      <c r="A29" s="10"/>
      <c r="B29" s="18" t="s">
        <v>75</v>
      </c>
      <c r="C29" s="9">
        <f t="shared" si="2"/>
        <v>2863.5</v>
      </c>
      <c r="D29" s="12">
        <v>150</v>
      </c>
      <c r="E29" s="12">
        <v>0</v>
      </c>
      <c r="F29" s="12">
        <v>0</v>
      </c>
      <c r="G29" s="12">
        <v>15</v>
      </c>
      <c r="H29" s="12">
        <v>0</v>
      </c>
      <c r="I29" s="12">
        <v>-1.5</v>
      </c>
      <c r="J29" s="12">
        <v>200</v>
      </c>
      <c r="K29" s="12">
        <v>2000</v>
      </c>
      <c r="L29" s="12"/>
      <c r="M29" s="12">
        <v>500</v>
      </c>
      <c r="N29" s="9">
        <f t="shared" si="3"/>
        <v>190.9</v>
      </c>
      <c r="O29" s="9"/>
    </row>
    <row r="30" spans="1:15" s="4" customFormat="1" ht="15" customHeight="1">
      <c r="A30" s="10">
        <v>8</v>
      </c>
      <c r="B30" s="20" t="s">
        <v>236</v>
      </c>
      <c r="C30" s="9">
        <f aca="true" t="shared" si="10" ref="C30:N30">SUM(C31:C33)</f>
        <v>1714.135</v>
      </c>
      <c r="D30" s="9">
        <f t="shared" si="10"/>
        <v>236.5</v>
      </c>
      <c r="E30" s="9">
        <f t="shared" si="10"/>
        <v>-21.5</v>
      </c>
      <c r="F30" s="9">
        <f t="shared" si="10"/>
        <v>-2.1500000000000012</v>
      </c>
      <c r="G30" s="9">
        <f t="shared" si="10"/>
        <v>23.65</v>
      </c>
      <c r="H30" s="9">
        <f t="shared" si="10"/>
        <v>0</v>
      </c>
      <c r="I30" s="9">
        <f t="shared" si="10"/>
        <v>-2.365</v>
      </c>
      <c r="J30" s="9">
        <f t="shared" si="10"/>
        <v>170</v>
      </c>
      <c r="K30" s="9">
        <f t="shared" si="10"/>
        <v>10730</v>
      </c>
      <c r="L30" s="9">
        <f t="shared" si="10"/>
        <v>-100</v>
      </c>
      <c r="M30" s="9">
        <f t="shared" si="10"/>
        <v>-800</v>
      </c>
      <c r="N30" s="9">
        <f t="shared" si="10"/>
        <v>114.27566666666667</v>
      </c>
      <c r="O30" s="9"/>
    </row>
    <row r="31" spans="1:15" ht="15" customHeight="1">
      <c r="A31" s="10"/>
      <c r="B31" s="12" t="s">
        <v>56</v>
      </c>
      <c r="C31" s="9">
        <f t="shared" si="2"/>
        <v>143.45499999999998</v>
      </c>
      <c r="D31" s="12">
        <v>104.5</v>
      </c>
      <c r="E31" s="12">
        <v>-9.5</v>
      </c>
      <c r="F31" s="12">
        <v>-0.9500000000000015</v>
      </c>
      <c r="G31" s="12">
        <v>10.45</v>
      </c>
      <c r="H31" s="12">
        <v>0</v>
      </c>
      <c r="I31" s="12">
        <v>-1.045</v>
      </c>
      <c r="J31" s="12">
        <v>40</v>
      </c>
      <c r="K31" s="12">
        <v>0</v>
      </c>
      <c r="L31" s="12"/>
      <c r="M31" s="12">
        <v>0</v>
      </c>
      <c r="N31" s="9">
        <f t="shared" si="3"/>
        <v>9.563666666666666</v>
      </c>
      <c r="O31" s="9"/>
    </row>
    <row r="32" spans="1:15" ht="15" customHeight="1">
      <c r="A32" s="10"/>
      <c r="B32" s="12" t="s">
        <v>57</v>
      </c>
      <c r="C32" s="9">
        <f t="shared" si="2"/>
        <v>160.68</v>
      </c>
      <c r="D32" s="12">
        <v>132</v>
      </c>
      <c r="E32" s="12">
        <v>-12</v>
      </c>
      <c r="F32" s="12">
        <v>-1.2</v>
      </c>
      <c r="G32" s="12">
        <v>13.2</v>
      </c>
      <c r="H32" s="12">
        <v>0</v>
      </c>
      <c r="I32" s="12">
        <v>-1.32</v>
      </c>
      <c r="J32" s="12">
        <v>30</v>
      </c>
      <c r="K32" s="12">
        <v>0</v>
      </c>
      <c r="L32" s="12"/>
      <c r="M32" s="12"/>
      <c r="N32" s="9">
        <f t="shared" si="3"/>
        <v>10.712000000000002</v>
      </c>
      <c r="O32" s="204" t="s">
        <v>219</v>
      </c>
    </row>
    <row r="33" spans="1:15" ht="15" customHeight="1">
      <c r="A33" s="10"/>
      <c r="B33" s="18" t="s">
        <v>194</v>
      </c>
      <c r="C33" s="9">
        <f>SUM(D33:M33)-5000-1720-1140-660</f>
        <v>1410</v>
      </c>
      <c r="D33" s="12">
        <v>0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2">
        <v>100</v>
      </c>
      <c r="K33" s="12">
        <v>10730</v>
      </c>
      <c r="L33" s="12">
        <v>-100</v>
      </c>
      <c r="M33" s="12">
        <v>-800</v>
      </c>
      <c r="N33" s="9">
        <f t="shared" si="3"/>
        <v>94</v>
      </c>
      <c r="O33" s="205"/>
    </row>
    <row r="34" spans="1:15" ht="15" customHeight="1">
      <c r="A34" s="10">
        <v>9</v>
      </c>
      <c r="B34" s="9" t="s">
        <v>30</v>
      </c>
      <c r="C34" s="9">
        <f aca="true" t="shared" si="11" ref="C34:N34">SUM(C35:C36)</f>
        <v>264</v>
      </c>
      <c r="D34" s="9">
        <f t="shared" si="11"/>
        <v>0</v>
      </c>
      <c r="E34" s="9">
        <f t="shared" si="11"/>
        <v>0</v>
      </c>
      <c r="F34" s="9">
        <f t="shared" si="11"/>
        <v>0</v>
      </c>
      <c r="G34" s="9">
        <f t="shared" si="11"/>
        <v>0</v>
      </c>
      <c r="H34" s="9">
        <f t="shared" si="11"/>
        <v>0</v>
      </c>
      <c r="I34" s="9">
        <f t="shared" si="11"/>
        <v>0</v>
      </c>
      <c r="J34" s="9">
        <f t="shared" si="11"/>
        <v>144</v>
      </c>
      <c r="K34" s="9">
        <f t="shared" si="11"/>
        <v>0</v>
      </c>
      <c r="L34" s="9">
        <f t="shared" si="11"/>
        <v>120</v>
      </c>
      <c r="M34" s="9">
        <f t="shared" si="11"/>
        <v>0</v>
      </c>
      <c r="N34" s="9">
        <f t="shared" si="11"/>
        <v>0</v>
      </c>
      <c r="O34" s="9"/>
    </row>
    <row r="35" spans="1:15" ht="15" customHeight="1">
      <c r="A35" s="10"/>
      <c r="B35" s="12" t="s">
        <v>182</v>
      </c>
      <c r="C35" s="9">
        <f t="shared" si="2"/>
        <v>144</v>
      </c>
      <c r="D35" s="12">
        <v>0</v>
      </c>
      <c r="E35" s="12">
        <v>0</v>
      </c>
      <c r="F35" s="12">
        <v>0</v>
      </c>
      <c r="G35" s="12">
        <v>0</v>
      </c>
      <c r="H35" s="12">
        <v>0</v>
      </c>
      <c r="I35" s="12">
        <v>0</v>
      </c>
      <c r="J35" s="12">
        <v>144</v>
      </c>
      <c r="K35" s="12">
        <v>0</v>
      </c>
      <c r="L35" s="12"/>
      <c r="M35" s="12"/>
      <c r="N35" s="9">
        <v>0</v>
      </c>
      <c r="O35" s="9"/>
    </row>
    <row r="36" spans="1:15" ht="15" customHeight="1">
      <c r="A36" s="10"/>
      <c r="B36" s="12" t="s">
        <v>183</v>
      </c>
      <c r="C36" s="9">
        <f t="shared" si="2"/>
        <v>120</v>
      </c>
      <c r="D36" s="12">
        <v>0</v>
      </c>
      <c r="E36" s="12">
        <v>0</v>
      </c>
      <c r="F36" s="12">
        <v>0</v>
      </c>
      <c r="G36" s="12">
        <v>0</v>
      </c>
      <c r="H36" s="12">
        <v>0</v>
      </c>
      <c r="I36" s="12">
        <v>0</v>
      </c>
      <c r="J36" s="12">
        <v>0</v>
      </c>
      <c r="K36" s="12">
        <v>0</v>
      </c>
      <c r="L36" s="12">
        <v>120</v>
      </c>
      <c r="M36" s="12"/>
      <c r="N36" s="9">
        <f>(C36-120)/12*8*0.1</f>
        <v>0</v>
      </c>
      <c r="O36" s="9"/>
    </row>
    <row r="37" spans="1:15" ht="15" customHeight="1">
      <c r="A37" s="10">
        <v>10</v>
      </c>
      <c r="B37" s="9" t="s">
        <v>54</v>
      </c>
      <c r="C37" s="9">
        <f aca="true" t="shared" si="12" ref="C37:N37">C38+C39</f>
        <v>406.009</v>
      </c>
      <c r="D37" s="9">
        <f t="shared" si="12"/>
        <v>309.1</v>
      </c>
      <c r="E37" s="9">
        <f t="shared" si="12"/>
        <v>-28.1</v>
      </c>
      <c r="F37" s="9">
        <f t="shared" si="12"/>
        <v>-2.81</v>
      </c>
      <c r="G37" s="9">
        <f t="shared" si="12"/>
        <v>30.910000000000004</v>
      </c>
      <c r="H37" s="9">
        <f t="shared" si="12"/>
        <v>0</v>
      </c>
      <c r="I37" s="9">
        <f t="shared" si="12"/>
        <v>-3.091</v>
      </c>
      <c r="J37" s="9">
        <f t="shared" si="12"/>
        <v>100</v>
      </c>
      <c r="K37" s="9">
        <f t="shared" si="12"/>
        <v>0</v>
      </c>
      <c r="L37" s="9">
        <f t="shared" si="12"/>
        <v>0</v>
      </c>
      <c r="M37" s="9">
        <f t="shared" si="12"/>
        <v>0</v>
      </c>
      <c r="N37" s="9">
        <f t="shared" si="12"/>
        <v>27.06726666666667</v>
      </c>
      <c r="O37" s="9"/>
    </row>
    <row r="38" spans="1:16" ht="15" customHeight="1">
      <c r="A38" s="10"/>
      <c r="B38" s="12" t="s">
        <v>55</v>
      </c>
      <c r="C38" s="9">
        <f t="shared" si="2"/>
        <v>181.769</v>
      </c>
      <c r="D38" s="12">
        <v>133.1</v>
      </c>
      <c r="E38" s="12">
        <v>-12.1</v>
      </c>
      <c r="F38" s="12">
        <v>-1.21</v>
      </c>
      <c r="G38" s="12">
        <v>13.31</v>
      </c>
      <c r="H38" s="12">
        <v>0</v>
      </c>
      <c r="I38" s="12">
        <v>-1.3310000000000002</v>
      </c>
      <c r="J38" s="12">
        <v>50</v>
      </c>
      <c r="K38" s="12">
        <v>0</v>
      </c>
      <c r="L38" s="12"/>
      <c r="M38" s="12"/>
      <c r="N38" s="9">
        <f t="shared" si="3"/>
        <v>12.117933333333333</v>
      </c>
      <c r="O38" s="9"/>
      <c r="P38" s="123"/>
    </row>
    <row r="39" spans="1:15" ht="15" customHeight="1">
      <c r="A39" s="10"/>
      <c r="B39" s="12" t="s">
        <v>254</v>
      </c>
      <c r="C39" s="9">
        <f t="shared" si="2"/>
        <v>224.24</v>
      </c>
      <c r="D39" s="12">
        <v>176</v>
      </c>
      <c r="E39" s="12">
        <v>-16</v>
      </c>
      <c r="F39" s="12">
        <v>-1.6</v>
      </c>
      <c r="G39" s="12">
        <v>17.6</v>
      </c>
      <c r="H39" s="12">
        <v>0</v>
      </c>
      <c r="I39" s="12">
        <v>-1.76</v>
      </c>
      <c r="J39" s="12">
        <v>50</v>
      </c>
      <c r="K39" s="12">
        <v>0</v>
      </c>
      <c r="L39" s="12"/>
      <c r="M39" s="12"/>
      <c r="N39" s="9">
        <f t="shared" si="3"/>
        <v>14.949333333333335</v>
      </c>
      <c r="O39" s="9"/>
    </row>
    <row r="40" spans="1:15" ht="15" customHeight="1">
      <c r="A40" s="10">
        <v>11</v>
      </c>
      <c r="B40" s="9" t="s">
        <v>130</v>
      </c>
      <c r="C40" s="9">
        <f t="shared" si="2"/>
        <v>140</v>
      </c>
      <c r="D40" s="12">
        <v>0</v>
      </c>
      <c r="E40" s="12">
        <v>0</v>
      </c>
      <c r="F40" s="12">
        <v>0</v>
      </c>
      <c r="G40" s="12">
        <v>0</v>
      </c>
      <c r="H40" s="12">
        <v>0</v>
      </c>
      <c r="I40" s="12">
        <v>0</v>
      </c>
      <c r="J40" s="12">
        <v>0</v>
      </c>
      <c r="K40" s="12">
        <v>140</v>
      </c>
      <c r="L40" s="12"/>
      <c r="M40" s="12"/>
      <c r="N40" s="9">
        <f t="shared" si="3"/>
        <v>9.333333333333334</v>
      </c>
      <c r="O40" s="9"/>
    </row>
    <row r="41" spans="1:15" ht="15" customHeight="1">
      <c r="A41" s="10">
        <v>12</v>
      </c>
      <c r="B41" s="20" t="s">
        <v>64</v>
      </c>
      <c r="C41" s="9">
        <f>SUM(D41:M41)-30</f>
        <v>590.2256</v>
      </c>
      <c r="D41" s="12">
        <v>121.44</v>
      </c>
      <c r="E41" s="12">
        <v>-11.04</v>
      </c>
      <c r="F41" s="12">
        <v>-1.1040000000000008</v>
      </c>
      <c r="G41" s="12">
        <v>12.144</v>
      </c>
      <c r="H41" s="12">
        <v>0</v>
      </c>
      <c r="I41" s="12">
        <v>-1.2144000000000001</v>
      </c>
      <c r="J41" s="12">
        <v>60</v>
      </c>
      <c r="K41" s="12">
        <v>240</v>
      </c>
      <c r="L41" s="12">
        <v>100</v>
      </c>
      <c r="M41" s="12">
        <v>100</v>
      </c>
      <c r="N41" s="9">
        <f>C41/12*8*0.1</f>
        <v>39.348373333333335</v>
      </c>
      <c r="O41" s="42" t="s">
        <v>218</v>
      </c>
    </row>
    <row r="42" spans="1:15" ht="15" customHeight="1">
      <c r="A42" s="10">
        <v>13</v>
      </c>
      <c r="B42" s="9" t="s">
        <v>27</v>
      </c>
      <c r="C42" s="9">
        <f t="shared" si="2"/>
        <v>135</v>
      </c>
      <c r="D42" s="12">
        <v>0</v>
      </c>
      <c r="E42" s="12">
        <v>0</v>
      </c>
      <c r="F42" s="12">
        <v>0</v>
      </c>
      <c r="G42" s="12">
        <v>0</v>
      </c>
      <c r="H42" s="12">
        <v>0</v>
      </c>
      <c r="I42" s="12">
        <v>0</v>
      </c>
      <c r="J42" s="12">
        <v>35</v>
      </c>
      <c r="K42" s="12">
        <v>100</v>
      </c>
      <c r="L42" s="12"/>
      <c r="M42" s="12"/>
      <c r="N42" s="9">
        <f t="shared" si="3"/>
        <v>9</v>
      </c>
      <c r="O42" s="9"/>
    </row>
    <row r="43" spans="1:15" ht="15" customHeight="1">
      <c r="A43" s="10">
        <v>14</v>
      </c>
      <c r="B43" s="17" t="s">
        <v>19</v>
      </c>
      <c r="C43" s="9">
        <f t="shared" si="2"/>
        <v>4235.429</v>
      </c>
      <c r="D43" s="12">
        <v>867.1</v>
      </c>
      <c r="E43" s="12">
        <v>-65.4</v>
      </c>
      <c r="F43" s="12">
        <v>-21.31</v>
      </c>
      <c r="G43" s="12">
        <v>86.71</v>
      </c>
      <c r="H43" s="12">
        <v>0</v>
      </c>
      <c r="I43" s="12">
        <v>-8.671000000000001</v>
      </c>
      <c r="J43" s="12">
        <v>90</v>
      </c>
      <c r="K43" s="12">
        <v>3287</v>
      </c>
      <c r="L43" s="12"/>
      <c r="M43" s="12"/>
      <c r="N43" s="9">
        <f t="shared" si="3"/>
        <v>282.36193333333335</v>
      </c>
      <c r="O43" s="9"/>
    </row>
    <row r="44" spans="1:15" ht="15" customHeight="1">
      <c r="A44" s="10">
        <v>16</v>
      </c>
      <c r="B44" s="20" t="s">
        <v>23</v>
      </c>
      <c r="C44" s="9">
        <f t="shared" si="2"/>
        <v>260</v>
      </c>
      <c r="D44" s="12">
        <v>0</v>
      </c>
      <c r="E44" s="12">
        <v>0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12">
        <v>260</v>
      </c>
      <c r="L44" s="12"/>
      <c r="M44" s="12"/>
      <c r="N44" s="9">
        <f t="shared" si="3"/>
        <v>17.333333333333336</v>
      </c>
      <c r="O44" s="9"/>
    </row>
    <row r="45" spans="1:15" ht="15" customHeight="1">
      <c r="A45" s="10">
        <v>17</v>
      </c>
      <c r="B45" s="124" t="s">
        <v>103</v>
      </c>
      <c r="C45" s="9">
        <f t="shared" si="2"/>
        <v>407.92379999999997</v>
      </c>
      <c r="D45" s="12">
        <v>169.62</v>
      </c>
      <c r="E45" s="12">
        <v>-9.9</v>
      </c>
      <c r="F45" s="12">
        <v>-7.062000000000001</v>
      </c>
      <c r="G45" s="12">
        <v>16.962</v>
      </c>
      <c r="H45" s="12">
        <v>0</v>
      </c>
      <c r="I45" s="12">
        <v>-1.6962000000000002</v>
      </c>
      <c r="J45" s="12">
        <v>40</v>
      </c>
      <c r="K45" s="12">
        <v>100</v>
      </c>
      <c r="L45" s="12"/>
      <c r="M45" s="12">
        <v>100</v>
      </c>
      <c r="N45" s="9">
        <f t="shared" si="3"/>
        <v>27.194919999999996</v>
      </c>
      <c r="O45" s="9"/>
    </row>
    <row r="46" spans="1:15" ht="15" customHeight="1">
      <c r="A46" s="10">
        <v>18</v>
      </c>
      <c r="B46" s="124" t="s">
        <v>129</v>
      </c>
      <c r="C46" s="9">
        <f t="shared" si="2"/>
        <v>211.15519999999998</v>
      </c>
      <c r="D46" s="12">
        <v>132.48</v>
      </c>
      <c r="E46" s="12">
        <v>-1.2872800000000013</v>
      </c>
      <c r="F46" s="12">
        <v>-11.960719999999998</v>
      </c>
      <c r="G46" s="12">
        <v>13.248</v>
      </c>
      <c r="H46" s="12">
        <v>0</v>
      </c>
      <c r="I46" s="12">
        <v>-1.3248</v>
      </c>
      <c r="J46" s="12">
        <v>0</v>
      </c>
      <c r="K46" s="12">
        <v>0</v>
      </c>
      <c r="L46" s="12">
        <v>80</v>
      </c>
      <c r="M46" s="12"/>
      <c r="N46" s="9">
        <f t="shared" si="3"/>
        <v>14.077013333333333</v>
      </c>
      <c r="O46" s="9"/>
    </row>
    <row r="47" spans="1:15" ht="15" customHeight="1">
      <c r="A47" s="10">
        <v>20</v>
      </c>
      <c r="B47" s="20" t="s">
        <v>181</v>
      </c>
      <c r="C47" s="9">
        <f t="shared" si="2"/>
        <v>195.7656</v>
      </c>
      <c r="D47" s="12">
        <v>167.44</v>
      </c>
      <c r="E47" s="12"/>
      <c r="F47" s="12">
        <v>-16.744</v>
      </c>
      <c r="G47" s="12">
        <v>16.744</v>
      </c>
      <c r="H47" s="12">
        <v>0</v>
      </c>
      <c r="I47" s="12">
        <v>-1.6744</v>
      </c>
      <c r="J47" s="12">
        <v>50</v>
      </c>
      <c r="K47" s="12"/>
      <c r="L47" s="12">
        <v>-20</v>
      </c>
      <c r="M47" s="12"/>
      <c r="N47" s="9">
        <f t="shared" si="3"/>
        <v>13.05104</v>
      </c>
      <c r="O47" s="9"/>
    </row>
    <row r="48" spans="1:15" ht="15" customHeight="1">
      <c r="A48" s="10">
        <v>21</v>
      </c>
      <c r="B48" s="124" t="s">
        <v>189</v>
      </c>
      <c r="C48" s="9">
        <f t="shared" si="2"/>
        <v>547.76</v>
      </c>
      <c r="D48" s="12">
        <v>0</v>
      </c>
      <c r="E48" s="12">
        <v>0</v>
      </c>
      <c r="F48" s="12">
        <v>0</v>
      </c>
      <c r="G48" s="12">
        <v>0</v>
      </c>
      <c r="H48" s="12">
        <v>386.4</v>
      </c>
      <c r="I48" s="12">
        <v>-38.64</v>
      </c>
      <c r="J48" s="12">
        <v>0</v>
      </c>
      <c r="K48" s="12">
        <v>0</v>
      </c>
      <c r="L48" s="12"/>
      <c r="M48" s="12">
        <v>200</v>
      </c>
      <c r="N48" s="9">
        <f t="shared" si="3"/>
        <v>36.51733333333333</v>
      </c>
      <c r="O48" s="9"/>
    </row>
    <row r="49" spans="1:15" ht="6" customHeight="1">
      <c r="A49" s="1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</row>
    <row r="50" ht="12.75">
      <c r="C50" s="2"/>
    </row>
    <row r="51" spans="1:3" ht="13.5">
      <c r="A51" s="54"/>
      <c r="C51" s="2"/>
    </row>
  </sheetData>
  <sheetProtection/>
  <mergeCells count="14">
    <mergeCell ref="L4:M4"/>
    <mergeCell ref="D3:M3"/>
    <mergeCell ref="C3:C5"/>
    <mergeCell ref="O32:O33"/>
    <mergeCell ref="A3:A5"/>
    <mergeCell ref="B3:B5"/>
    <mergeCell ref="O3:O5"/>
    <mergeCell ref="A1:O1"/>
    <mergeCell ref="L2:M2"/>
    <mergeCell ref="G2:I2"/>
    <mergeCell ref="N3:N5"/>
    <mergeCell ref="D4:F4"/>
    <mergeCell ref="G4:I4"/>
    <mergeCell ref="J4:K4"/>
  </mergeCells>
  <printOptions/>
  <pageMargins left="0.6" right="0.5" top="0.4" bottom="0.3" header="0.25" footer="0.2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STCQNA.MOF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Khanh</dc:creator>
  <cp:keywords/>
  <dc:description/>
  <cp:lastModifiedBy>Admin</cp:lastModifiedBy>
  <cp:lastPrinted>2015-06-04T22:15:49Z</cp:lastPrinted>
  <dcterms:created xsi:type="dcterms:W3CDTF">2004-09-28T00:30:13Z</dcterms:created>
  <dcterms:modified xsi:type="dcterms:W3CDTF">2015-06-08T00:36:26Z</dcterms:modified>
  <cp:category/>
  <cp:version/>
  <cp:contentType/>
  <cp:contentStatus/>
</cp:coreProperties>
</file>